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5570" windowHeight="7590" tabRatio="599" activeTab="2"/>
  </bookViews>
  <sheets>
    <sheet name="RECAP" sheetId="75" r:id="rId1"/>
    <sheet name="Ent Recap" sheetId="81" r:id="rId2"/>
    <sheet name="Summary" sheetId="1" r:id="rId3"/>
    <sheet name="Dept 122" sheetId="6" r:id="rId4"/>
    <sheet name="Pers 122" sheetId="7" r:id="rId5"/>
    <sheet name="Dept 124" sheetId="8" r:id="rId6"/>
    <sheet name="Dept 131" sheetId="9" r:id="rId7"/>
    <sheet name="Dept 135" sheetId="10" r:id="rId8"/>
    <sheet name="Pers 135" sheetId="11" r:id="rId9"/>
    <sheet name="Dept 141" sheetId="12" r:id="rId10"/>
    <sheet name="Pers 141" sheetId="13" r:id="rId11"/>
    <sheet name="Dept 145" sheetId="14" r:id="rId12"/>
    <sheet name="Pers 145" sheetId="15" r:id="rId13"/>
    <sheet name="Dept 151" sheetId="16" r:id="rId14"/>
    <sheet name="Pers 151" sheetId="17" r:id="rId15"/>
    <sheet name="Dept 155" sheetId="103" r:id="rId16"/>
    <sheet name="Dept 161" sheetId="21" r:id="rId17"/>
    <sheet name="Pers 161" sheetId="22" r:id="rId18"/>
    <sheet name="Dept 171" sheetId="25" r:id="rId19"/>
    <sheet name="Pers 171" sheetId="26" r:id="rId20"/>
    <sheet name="Dept 175" sheetId="73" r:id="rId21"/>
    <sheet name="Pers 175" sheetId="74" r:id="rId22"/>
    <sheet name="Dept 192" sheetId="31" r:id="rId23"/>
    <sheet name="Pers 192" sheetId="32" r:id="rId24"/>
    <sheet name="Dept 210" sheetId="33" r:id="rId25"/>
    <sheet name="Pers 210" sheetId="34" r:id="rId26"/>
    <sheet name="Dept 220" sheetId="35" r:id="rId27"/>
    <sheet name="Pers 220" sheetId="36" r:id="rId28"/>
    <sheet name="Dept 241" sheetId="37" r:id="rId29"/>
    <sheet name="Pers 241" sheetId="38" r:id="rId30"/>
    <sheet name="Dept 291" sheetId="39" r:id="rId31"/>
    <sheet name="Pers 291" sheetId="40" r:id="rId32"/>
    <sheet name="Dept 292" sheetId="41" r:id="rId33"/>
    <sheet name="Pers 292" sheetId="42" r:id="rId34"/>
    <sheet name="Dept 297" sheetId="43" r:id="rId35"/>
    <sheet name="Pers 297" sheetId="44" r:id="rId36"/>
    <sheet name="Dept 421" sheetId="47" r:id="rId37"/>
    <sheet name="Pers 421" sheetId="48" r:id="rId38"/>
    <sheet name="Dept 423" sheetId="49" r:id="rId39"/>
    <sheet name="Dept 496" sheetId="53" r:id="rId40"/>
    <sheet name="Dept 511" sheetId="83" r:id="rId41"/>
    <sheet name="Pers 511" sheetId="55" r:id="rId42"/>
    <sheet name="Dept 541" sheetId="56" r:id="rId43"/>
    <sheet name="Pers 541" sheetId="57" r:id="rId44"/>
    <sheet name="Dept 543" sheetId="58" r:id="rId45"/>
    <sheet name="Pers 543" sheetId="99" r:id="rId46"/>
    <sheet name="Dept 610" sheetId="60" r:id="rId47"/>
    <sheet name="Pers 610" sheetId="61" r:id="rId48"/>
    <sheet name="Dept 650" sheetId="62" r:id="rId49"/>
    <sheet name="Pers 650" sheetId="86" r:id="rId50"/>
    <sheet name="Admin" sheetId="65" r:id="rId51"/>
    <sheet name="Reserve Funds" sheetId="66" r:id="rId52"/>
    <sheet name="Capital" sheetId="67" r:id="rId53"/>
    <sheet name="Harbor" sheetId="68" r:id="rId54"/>
    <sheet name="Pers Harbor" sheetId="92" r:id="rId55"/>
    <sheet name="Sewer" sheetId="85" r:id="rId56"/>
    <sheet name="Pers Sewer" sheetId="71" r:id="rId57"/>
    <sheet name="Cable" sheetId="89" r:id="rId58"/>
    <sheet name="Pers Cable" sheetId="90" r:id="rId59"/>
    <sheet name="Sheet1" sheetId="116" r:id="rId60"/>
  </sheets>
  <definedNames>
    <definedName name="A">#REF!</definedName>
    <definedName name="aaa" localSheetId="57">#REF!</definedName>
    <definedName name="aaa" localSheetId="20">#REF!</definedName>
    <definedName name="aaa" localSheetId="21">#REF!</definedName>
    <definedName name="aaa" localSheetId="45">#REF!</definedName>
    <definedName name="aaa" localSheetId="58">#REF!</definedName>
    <definedName name="aaa">#REF!</definedName>
    <definedName name="DD">#REF!</definedName>
    <definedName name="FHorizontalAxis" localSheetId="15">#REF!</definedName>
    <definedName name="FHorizontalAxis">#REF!</definedName>
    <definedName name="FModelCompany" localSheetId="57">#REF!</definedName>
    <definedName name="FModelCompany" localSheetId="20">#REF!</definedName>
    <definedName name="FModelCompany" localSheetId="21">#REF!</definedName>
    <definedName name="FModelCompany" localSheetId="45">#REF!</definedName>
    <definedName name="FModelCompany" localSheetId="58">#REF!</definedName>
    <definedName name="FModelCompany">#REF!</definedName>
    <definedName name="FOtherAxes" localSheetId="57">#REF!</definedName>
    <definedName name="FOtherAxes" localSheetId="20">#REF!</definedName>
    <definedName name="FOtherAxes" localSheetId="21">#REF!</definedName>
    <definedName name="FOtherAxes" localSheetId="58">#REF!</definedName>
    <definedName name="FOtherAxes">#REF!</definedName>
    <definedName name="FReportBody" localSheetId="15">#REF!</definedName>
    <definedName name="FReportBody">#REF!</definedName>
    <definedName name="FReportTitle" localSheetId="57">#REF!</definedName>
    <definedName name="FReportTitle" localSheetId="20">#REF!</definedName>
    <definedName name="FReportTitle" localSheetId="21">#REF!</definedName>
    <definedName name="FReportTitle" localSheetId="45">#REF!</definedName>
    <definedName name="FReportTitle" localSheetId="58">#REF!</definedName>
    <definedName name="FReportTitle">#REF!</definedName>
    <definedName name="FVerticalAxis" localSheetId="15">#REF!</definedName>
    <definedName name="FVerticalAxis">#REF!</definedName>
    <definedName name="_xlnm.Print_Area" localSheetId="50">Admin!$A$2:$I$39</definedName>
    <definedName name="_xlnm.Print_Area" localSheetId="57">Cable!$A$1:$I$29</definedName>
    <definedName name="_xlnm.Print_Area" localSheetId="52">Capital!$A$1:$I$44</definedName>
    <definedName name="_xlnm.Print_Area" localSheetId="3">'Dept 122'!$A$1:$I$33</definedName>
    <definedName name="_xlnm.Print_Area" localSheetId="5">'Dept 124'!$A$1:$I$27</definedName>
    <definedName name="_xlnm.Print_Area" localSheetId="6">'Dept 131'!$A$1:$I$19</definedName>
    <definedName name="_xlnm.Print_Area" localSheetId="7">'Dept 135'!$A$1:$I$28</definedName>
    <definedName name="_xlnm.Print_Area" localSheetId="9">'Dept 141'!$A$1:$I$31</definedName>
    <definedName name="_xlnm.Print_Area" localSheetId="11">'Dept 145'!$A$1:$I$34</definedName>
    <definedName name="_xlnm.Print_Area" localSheetId="13">'Dept 151'!$A$1:$I$32</definedName>
    <definedName name="_xlnm.Print_Area" localSheetId="15">'Dept 155'!$A$1:$M$30</definedName>
    <definedName name="_xlnm.Print_Area" localSheetId="16">'Dept 161'!$A$1:$I$30</definedName>
    <definedName name="_xlnm.Print_Area" localSheetId="18">'Dept 171'!$A$1:$I$34</definedName>
    <definedName name="_xlnm.Print_Area" localSheetId="20">'Dept 175'!$A$1:$I$32</definedName>
    <definedName name="_xlnm.Print_Area" localSheetId="22">'Dept 192'!$A$1:$I$38</definedName>
    <definedName name="_xlnm.Print_Area" localSheetId="24">'Dept 210'!$A$1:$I$48</definedName>
    <definedName name="_xlnm.Print_Area" localSheetId="26">'Dept 220'!$A$1:$I$50</definedName>
    <definedName name="_xlnm.Print_Area" localSheetId="28">'Dept 241'!$A$1:$I$30</definedName>
    <definedName name="_xlnm.Print_Area" localSheetId="30">'Dept 291'!$A$1:$I$23</definedName>
    <definedName name="_xlnm.Print_Area" localSheetId="32">'Dept 292'!$A$1:$I$29</definedName>
    <definedName name="_xlnm.Print_Area" localSheetId="34">'Dept 297'!$A$1:$I$22</definedName>
    <definedName name="_xlnm.Print_Area" localSheetId="36">'Dept 421'!$A$1:$I$46</definedName>
    <definedName name="_xlnm.Print_Area" localSheetId="38">'Dept 423'!$A$1:$I$28</definedName>
    <definedName name="_xlnm.Print_Area" localSheetId="39">'Dept 496'!$A$1:$I$26</definedName>
    <definedName name="_xlnm.Print_Area" localSheetId="40">'Dept 511'!$A$1:$I$32</definedName>
    <definedName name="_xlnm.Print_Area" localSheetId="42">'Dept 541'!$A$1:$I$38</definedName>
    <definedName name="_xlnm.Print_Area" localSheetId="44">'Dept 543'!$A$1:$I$26</definedName>
    <definedName name="_xlnm.Print_Area" localSheetId="46">'Dept 610'!$A$1:$I$35</definedName>
    <definedName name="_xlnm.Print_Area" localSheetId="48">'Dept 650'!$A$1:$I$22</definedName>
    <definedName name="_xlnm.Print_Area" localSheetId="1">'Ent Recap'!$A$1:$S$49</definedName>
    <definedName name="_xlnm.Print_Area" localSheetId="53">Harbor!$A$1:$I$48</definedName>
    <definedName name="_xlnm.Print_Area" localSheetId="4">'Pers 122'!$A$1:$T$42</definedName>
    <definedName name="_xlnm.Print_Area" localSheetId="8">'Pers 135'!$A$1:$R$28</definedName>
    <definedName name="_xlnm.Print_Area" localSheetId="10">'Pers 141'!$A$1:$R$42</definedName>
    <definedName name="_xlnm.Print_Area" localSheetId="12">'Pers 145'!$A$1:$R$30</definedName>
    <definedName name="_xlnm.Print_Area" localSheetId="14">'Pers 151'!$A$1:$R$26</definedName>
    <definedName name="_xlnm.Print_Area" localSheetId="17">'Pers 161'!$A$1:$R$37</definedName>
    <definedName name="_xlnm.Print_Area" localSheetId="19">'Pers 171'!$A$1:$R$31</definedName>
    <definedName name="_xlnm.Print_Area" localSheetId="21">'Pers 175'!$A$1:$R$31</definedName>
    <definedName name="_xlnm.Print_Area" localSheetId="23">'Pers 192'!$A$1:$R$23</definedName>
    <definedName name="_xlnm.Print_Area" localSheetId="25">'Pers 210'!$Z$1:$AK$63</definedName>
    <definedName name="_xlnm.Print_Area" localSheetId="27">'Pers 220'!$A$1:$O$62</definedName>
    <definedName name="_xlnm.Print_Area" localSheetId="29">'Pers 241'!$A$1:$R$28</definedName>
    <definedName name="_xlnm.Print_Area" localSheetId="31">'Pers 291'!$A$1:$R$28</definedName>
    <definedName name="_xlnm.Print_Area" localSheetId="33">'Pers 292'!$A$1:$R$23</definedName>
    <definedName name="_xlnm.Print_Area" localSheetId="35">'Pers 297'!$A$1:$S$21</definedName>
    <definedName name="_xlnm.Print_Area" localSheetId="37">'Pers 421'!$A$1:$R$45</definedName>
    <definedName name="_xlnm.Print_Area" localSheetId="41">'Pers 511'!$A$1:$R$40</definedName>
    <definedName name="_xlnm.Print_Area" localSheetId="43">'Pers 541'!$A$1:$T$34</definedName>
    <definedName name="_xlnm.Print_Area" localSheetId="45">'Pers 543'!$A$1:$R$24</definedName>
    <definedName name="_xlnm.Print_Area" localSheetId="47">'Pers 610'!$A$1:$T$37</definedName>
    <definedName name="_xlnm.Print_Area" localSheetId="49">'Pers 650'!$A$1:$R$28</definedName>
    <definedName name="_xlnm.Print_Area" localSheetId="58">'Pers Cable'!$A$1:$R$29</definedName>
    <definedName name="_xlnm.Print_Area" localSheetId="54">'Pers Harbor'!$A$1:$R$28</definedName>
    <definedName name="_xlnm.Print_Area" localSheetId="56">'Pers Sewer'!$A$1:$S$31</definedName>
    <definedName name="_xlnm.Print_Area" localSheetId="0">RECAP!$A$1:$U$64</definedName>
    <definedName name="_xlnm.Print_Area" localSheetId="51">'Reserve Funds'!$A$1:$I$14</definedName>
    <definedName name="_xlnm.Print_Area" localSheetId="55">Sewer!$A$1:$I$52</definedName>
    <definedName name="_xlnm.Print_Area" localSheetId="2">Summary!$A$1:$G$58</definedName>
    <definedName name="_xlnm.Print_Titles" localSheetId="50">Admin!$1:$4</definedName>
    <definedName name="xx" localSheetId="57">#REF!</definedName>
    <definedName name="xx" localSheetId="20">#REF!</definedName>
    <definedName name="xx" localSheetId="21">#REF!</definedName>
    <definedName name="xx" localSheetId="45">#REF!</definedName>
    <definedName name="xx" localSheetId="58">#REF!</definedName>
    <definedName name="xx">#REF!</definedName>
    <definedName name="xxx" localSheetId="57">#REF!</definedName>
    <definedName name="xxx" localSheetId="20">#REF!</definedName>
    <definedName name="xxx" localSheetId="21">#REF!</definedName>
    <definedName name="xxx" localSheetId="45">#REF!</definedName>
    <definedName name="xxx" localSheetId="58">#REF!</definedName>
    <definedName name="xxx">#REF!</definedName>
  </definedNames>
  <calcPr calcId="125725"/>
</workbook>
</file>

<file path=xl/calcChain.xml><?xml version="1.0" encoding="utf-8"?>
<calcChain xmlns="http://schemas.openxmlformats.org/spreadsheetml/2006/main">
  <c r="Q21" i="75"/>
  <c r="H18" i="35"/>
  <c r="G18"/>
  <c r="N43" i="36" l="1"/>
  <c r="M43"/>
  <c r="M52" s="1"/>
  <c r="M45"/>
  <c r="M46"/>
  <c r="M48"/>
  <c r="M56"/>
  <c r="M54"/>
  <c r="M51"/>
  <c r="M53"/>
  <c r="N40"/>
  <c r="L43"/>
  <c r="O43"/>
  <c r="M50" s="1"/>
  <c r="Q23" i="75"/>
  <c r="E40" i="1"/>
  <c r="M49" i="36" l="1"/>
  <c r="M60" s="1"/>
  <c r="P32" i="7" l="1"/>
  <c r="H17" i="10"/>
  <c r="AF48" i="34"/>
  <c r="G10" i="66" l="1"/>
  <c r="G21" i="65"/>
  <c r="Q53" i="75"/>
  <c r="Q9"/>
  <c r="O32" i="81" l="1"/>
  <c r="O37"/>
  <c r="G26" i="65" l="1"/>
  <c r="G26" i="89" l="1"/>
  <c r="N18" i="90"/>
  <c r="N38" i="36"/>
  <c r="N37"/>
  <c r="N36"/>
  <c r="N35"/>
  <c r="N34"/>
  <c r="Q57" i="75" l="1"/>
  <c r="O57"/>
  <c r="AF46" i="34"/>
  <c r="P28" i="61"/>
  <c r="Q13" i="7" l="1"/>
  <c r="P13" s="1"/>
  <c r="G8" i="31" l="1"/>
  <c r="G44" i="85" l="1"/>
  <c r="G38"/>
  <c r="G31"/>
  <c r="G25"/>
  <c r="G20"/>
  <c r="G30" i="68"/>
  <c r="G36"/>
  <c r="G12" i="65"/>
  <c r="G34" i="56"/>
  <c r="G23"/>
  <c r="G33" i="47"/>
  <c r="G25"/>
  <c r="G42" i="35"/>
  <c r="G31"/>
  <c r="G40" i="33"/>
  <c r="G28"/>
  <c r="G26" i="21"/>
  <c r="G22"/>
  <c r="G17"/>
  <c r="G24" i="14"/>
  <c r="G23" i="12"/>
  <c r="G19"/>
  <c r="G21" i="10"/>
  <c r="G17"/>
  <c r="G26" i="6"/>
  <c r="G22"/>
  <c r="I23" i="56"/>
  <c r="H23"/>
  <c r="F23"/>
  <c r="E23"/>
  <c r="D23"/>
  <c r="O11" i="13" l="1"/>
  <c r="O27" i="81"/>
  <c r="M37"/>
  <c r="M32"/>
  <c r="G36" i="31" l="1"/>
  <c r="G30"/>
  <c r="Q24" i="75"/>
  <c r="G12" i="31" l="1"/>
  <c r="G35" l="1"/>
  <c r="G38" s="1"/>
  <c r="G23"/>
  <c r="I18" i="37"/>
  <c r="H18"/>
  <c r="G18"/>
  <c r="F18"/>
  <c r="E18"/>
  <c r="D18"/>
  <c r="G16" i="14"/>
  <c r="G20" s="1"/>
  <c r="I20"/>
  <c r="H20"/>
  <c r="F20"/>
  <c r="E20"/>
  <c r="D20"/>
  <c r="F17" i="10"/>
  <c r="E17"/>
  <c r="D17"/>
  <c r="Q14" i="7" l="1"/>
  <c r="P14" s="1"/>
  <c r="G39" i="67"/>
  <c r="O21" i="75"/>
  <c r="G10" i="89" l="1"/>
  <c r="O8" i="90"/>
  <c r="N8" s="1"/>
  <c r="E39" i="1" l="1"/>
  <c r="G14" i="85" l="1"/>
  <c r="F23" i="71"/>
  <c r="O12"/>
  <c r="O11"/>
  <c r="O10"/>
  <c r="O18" i="36" l="1"/>
  <c r="E19" i="33" l="1"/>
  <c r="G19"/>
  <c r="AF55" i="34"/>
  <c r="AE39"/>
  <c r="AF45" s="1"/>
  <c r="O13" i="38"/>
  <c r="N13"/>
  <c r="N12"/>
  <c r="N17" s="1"/>
  <c r="O9"/>
  <c r="R9" s="1"/>
  <c r="N20" s="1"/>
  <c r="N9" l="1"/>
  <c r="N16" s="1"/>
  <c r="N21"/>
  <c r="R16" i="57"/>
  <c r="Q15"/>
  <c r="Q17"/>
  <c r="P17" s="1"/>
  <c r="Q18"/>
  <c r="P18" s="1"/>
  <c r="R18"/>
  <c r="Q16"/>
  <c r="P15"/>
  <c r="R15"/>
  <c r="P14"/>
  <c r="P25" s="1"/>
  <c r="Q9"/>
  <c r="P9" s="1"/>
  <c r="N19" i="55" l="1"/>
  <c r="N18"/>
  <c r="N17"/>
  <c r="R9" i="92"/>
  <c r="P8" i="44" l="1"/>
  <c r="O9" i="42" l="1"/>
  <c r="R11" i="55" l="1"/>
  <c r="N11"/>
  <c r="O14"/>
  <c r="N14" s="1"/>
  <c r="P33" i="7"/>
  <c r="G13" i="6" s="1"/>
  <c r="P15" i="7"/>
  <c r="D24" i="1"/>
  <c r="G19" i="39"/>
  <c r="G14"/>
  <c r="N27" i="55" l="1"/>
  <c r="N32"/>
  <c r="G29" i="73"/>
  <c r="G24"/>
  <c r="G21"/>
  <c r="G18"/>
  <c r="N14" i="74"/>
  <c r="N22" s="1"/>
  <c r="O13" l="1"/>
  <c r="N13" s="1"/>
  <c r="O9"/>
  <c r="N9" s="1"/>
  <c r="O9" i="99" l="1"/>
  <c r="N9" s="1"/>
  <c r="N13" i="26" l="1"/>
  <c r="O12"/>
  <c r="N12" s="1"/>
  <c r="N19" s="1"/>
  <c r="O9"/>
  <c r="N9" s="1"/>
  <c r="N18" s="1"/>
  <c r="P17" i="61" l="1"/>
  <c r="P18"/>
  <c r="P19"/>
  <c r="P16"/>
  <c r="P15"/>
  <c r="P14"/>
  <c r="P13"/>
  <c r="P12"/>
  <c r="Q8"/>
  <c r="P8" s="1"/>
  <c r="N12" i="11" l="1"/>
  <c r="O8" i="15" l="1"/>
  <c r="N35" i="48"/>
  <c r="N21" i="15" l="1"/>
  <c r="N13"/>
  <c r="N12"/>
  <c r="N11"/>
  <c r="N10"/>
  <c r="N33" i="48" l="1"/>
  <c r="O8"/>
  <c r="Q27" i="75" l="1"/>
  <c r="N12" i="13" l="1"/>
  <c r="N13"/>
  <c r="N8"/>
  <c r="D53" i="1" l="1"/>
  <c r="D52"/>
  <c r="D51"/>
  <c r="Q59" i="75" l="1"/>
  <c r="G30" i="65" l="1"/>
  <c r="G34" s="1"/>
  <c r="G25"/>
  <c r="G24"/>
  <c r="G23"/>
  <c r="G17"/>
  <c r="G16"/>
  <c r="G15"/>
  <c r="G18" s="1"/>
  <c r="D50" i="1"/>
  <c r="D49"/>
  <c r="E7" i="12"/>
  <c r="E8"/>
  <c r="G27" i="65" l="1"/>
  <c r="D35" i="1"/>
  <c r="T56" i="34"/>
  <c r="T55"/>
  <c r="T51"/>
  <c r="T49"/>
  <c r="T48"/>
  <c r="T45"/>
  <c r="T44"/>
  <c r="T59" s="1"/>
  <c r="E53" i="36"/>
  <c r="E49"/>
  <c r="E46"/>
  <c r="E45"/>
  <c r="E43"/>
  <c r="G41"/>
  <c r="F41"/>
  <c r="E47" s="1"/>
  <c r="E41"/>
  <c r="D38"/>
  <c r="D41" s="1"/>
  <c r="F18" i="90"/>
  <c r="F20"/>
  <c r="G25" i="61"/>
  <c r="F31" i="55"/>
  <c r="F29" i="48"/>
  <c r="F17" i="38"/>
  <c r="E44" i="36" l="1"/>
  <c r="E58" s="1"/>
  <c r="F19" i="74"/>
  <c r="F18" i="26" l="1"/>
  <c r="F27" i="13"/>
  <c r="F28"/>
  <c r="F29"/>
  <c r="F26"/>
  <c r="N17" i="11"/>
  <c r="G8" i="10" s="1"/>
  <c r="F17" i="11"/>
  <c r="G9"/>
  <c r="O9" s="1"/>
  <c r="N9" s="1"/>
  <c r="H9" i="7"/>
  <c r="Q11" i="75" l="1"/>
  <c r="E17" i="65" l="1"/>
  <c r="E30" i="47"/>
  <c r="E18" i="33" l="1"/>
  <c r="E21" i="25"/>
  <c r="E17" i="12" l="1"/>
  <c r="F22" i="6" l="1"/>
  <c r="H50" i="85" l="1"/>
  <c r="H44"/>
  <c r="H38"/>
  <c r="H31"/>
  <c r="H25"/>
  <c r="H20"/>
  <c r="H27" i="89" l="1"/>
  <c r="H24"/>
  <c r="H20"/>
  <c r="H16"/>
  <c r="H46" i="68"/>
  <c r="H41"/>
  <c r="H36"/>
  <c r="H30"/>
  <c r="H22"/>
  <c r="H17"/>
  <c r="H12" i="65"/>
  <c r="H32" i="60"/>
  <c r="H25"/>
  <c r="H21"/>
  <c r="H34" i="56"/>
  <c r="H30" i="83"/>
  <c r="H24"/>
  <c r="H19"/>
  <c r="H24" i="53"/>
  <c r="H17"/>
  <c r="H13"/>
  <c r="H9"/>
  <c r="H22" i="49"/>
  <c r="H15"/>
  <c r="H10"/>
  <c r="H44" i="47"/>
  <c r="H41"/>
  <c r="H33"/>
  <c r="H25"/>
  <c r="H21" i="37"/>
  <c r="H48" i="35"/>
  <c r="H42"/>
  <c r="H31"/>
  <c r="H46" i="33"/>
  <c r="H40"/>
  <c r="H28"/>
  <c r="H23" i="31"/>
  <c r="H29" i="73"/>
  <c r="H24"/>
  <c r="H18"/>
  <c r="H29" i="25"/>
  <c r="H24"/>
  <c r="H17"/>
  <c r="H29" i="16"/>
  <c r="H22"/>
  <c r="H17"/>
  <c r="H24" i="14"/>
  <c r="O23" i="75" l="1"/>
  <c r="N36" i="22" l="1"/>
  <c r="N20" s="1"/>
  <c r="N30" i="13" l="1"/>
  <c r="G16" i="33"/>
  <c r="N26" i="55" l="1"/>
  <c r="G12" i="85" l="1"/>
  <c r="G11"/>
  <c r="G10"/>
  <c r="F14" i="6"/>
  <c r="G30" i="83"/>
  <c r="G24"/>
  <c r="G19"/>
  <c r="O12" i="44" l="1"/>
  <c r="G17" i="33" l="1"/>
  <c r="G13"/>
  <c r="G10"/>
  <c r="G9"/>
  <c r="G18"/>
  <c r="AF49" i="34"/>
  <c r="G12" i="33" l="1"/>
  <c r="D44" i="1"/>
  <c r="G29" i="16"/>
  <c r="G22"/>
  <c r="G17"/>
  <c r="H26" i="10"/>
  <c r="H21"/>
  <c r="D43" i="1" l="1"/>
  <c r="D45" l="1"/>
  <c r="D36"/>
  <c r="D37"/>
  <c r="D41"/>
  <c r="Q41" i="75"/>
  <c r="N27" i="13" l="1"/>
  <c r="N31" s="1"/>
  <c r="G13" i="12" s="1"/>
  <c r="H12" i="10"/>
  <c r="H28" s="1"/>
  <c r="G22" i="49"/>
  <c r="G15"/>
  <c r="G10"/>
  <c r="G25" l="1"/>
  <c r="N29" i="48"/>
  <c r="N38" s="1"/>
  <c r="G9" i="16"/>
  <c r="G11" i="12"/>
  <c r="N29" i="13"/>
  <c r="R9" i="11" l="1"/>
  <c r="P28" i="7" l="1"/>
  <c r="Q7" i="75" l="1"/>
  <c r="Q8" s="1"/>
  <c r="F29" i="55" l="1"/>
  <c r="G8" i="33"/>
  <c r="AF51" i="34"/>
  <c r="G11" i="33"/>
  <c r="AF44" i="34"/>
  <c r="G7" i="33" s="1"/>
  <c r="G15" l="1"/>
  <c r="F20" i="26"/>
  <c r="F32" i="13"/>
  <c r="F18" i="11"/>
  <c r="AF59" i="34" l="1"/>
  <c r="G20" i="33"/>
  <c r="G21" s="1"/>
  <c r="H11" i="89"/>
  <c r="H15" i="85"/>
  <c r="H12" i="68"/>
  <c r="I4" i="89"/>
  <c r="H4"/>
  <c r="G4"/>
  <c r="F4"/>
  <c r="E4"/>
  <c r="D4"/>
  <c r="I4" i="85"/>
  <c r="H4"/>
  <c r="G4"/>
  <c r="F4"/>
  <c r="E4"/>
  <c r="D4"/>
  <c r="I4" i="68"/>
  <c r="H4"/>
  <c r="G4"/>
  <c r="F4"/>
  <c r="E4"/>
  <c r="D4"/>
  <c r="H39" i="65"/>
  <c r="H34"/>
  <c r="H27"/>
  <c r="H18"/>
  <c r="H16" i="62"/>
  <c r="H13"/>
  <c r="H9"/>
  <c r="H13" i="60"/>
  <c r="H23" i="58"/>
  <c r="H18"/>
  <c r="H14"/>
  <c r="H9"/>
  <c r="H12" i="56"/>
  <c r="H14" i="83"/>
  <c r="H18" i="47"/>
  <c r="H22" i="41"/>
  <c r="H18"/>
  <c r="H10"/>
  <c r="H19" i="39"/>
  <c r="H14"/>
  <c r="H9"/>
  <c r="H25" i="37"/>
  <c r="H13"/>
  <c r="H21" i="35"/>
  <c r="H50" s="1"/>
  <c r="D48"/>
  <c r="D42"/>
  <c r="D31"/>
  <c r="D21"/>
  <c r="H21" i="33"/>
  <c r="H30" i="31"/>
  <c r="H10"/>
  <c r="H12" i="73"/>
  <c r="H12" i="25"/>
  <c r="H26" i="21"/>
  <c r="H22"/>
  <c r="H17"/>
  <c r="H12"/>
  <c r="K5" i="103"/>
  <c r="J5"/>
  <c r="I5"/>
  <c r="H5"/>
  <c r="H12" i="16"/>
  <c r="H29" i="14"/>
  <c r="H14"/>
  <c r="G4" i="43"/>
  <c r="F4"/>
  <c r="E4"/>
  <c r="D4"/>
  <c r="G4" i="41"/>
  <c r="F4"/>
  <c r="E4"/>
  <c r="D4"/>
  <c r="G4" i="39"/>
  <c r="F4"/>
  <c r="E4"/>
  <c r="D4"/>
  <c r="G4" i="37"/>
  <c r="F4"/>
  <c r="E4"/>
  <c r="D4"/>
  <c r="G4" i="35"/>
  <c r="F4"/>
  <c r="E4"/>
  <c r="D4"/>
  <c r="G4" i="33"/>
  <c r="F4"/>
  <c r="E4"/>
  <c r="D4"/>
  <c r="G4" i="31"/>
  <c r="F4"/>
  <c r="E4"/>
  <c r="D4"/>
  <c r="G4" i="73"/>
  <c r="F4"/>
  <c r="E4"/>
  <c r="D4"/>
  <c r="G4" i="25"/>
  <c r="F4"/>
  <c r="E4"/>
  <c r="D4"/>
  <c r="G4" i="21"/>
  <c r="F4"/>
  <c r="E4"/>
  <c r="D4"/>
  <c r="G4" i="16"/>
  <c r="F4"/>
  <c r="E4"/>
  <c r="D4"/>
  <c r="G4" i="14"/>
  <c r="F4"/>
  <c r="E4"/>
  <c r="D4"/>
  <c r="H14" i="12"/>
  <c r="H28"/>
  <c r="H23"/>
  <c r="H19"/>
  <c r="G4"/>
  <c r="F4"/>
  <c r="E4"/>
  <c r="D4"/>
  <c r="G4" i="10"/>
  <c r="F4"/>
  <c r="E4"/>
  <c r="D4"/>
  <c r="G4" i="9"/>
  <c r="F4"/>
  <c r="E4"/>
  <c r="D4"/>
  <c r="G4" i="8"/>
  <c r="F4"/>
  <c r="E4"/>
  <c r="D4"/>
  <c r="D30" i="6"/>
  <c r="D26"/>
  <c r="D22"/>
  <c r="D14"/>
  <c r="H33" i="31" l="1"/>
  <c r="H19" i="62"/>
  <c r="H25" i="41"/>
  <c r="H32" i="25"/>
  <c r="H32" i="73"/>
  <c r="H28" i="21"/>
  <c r="H32" i="16"/>
  <c r="G11" i="14" l="1"/>
  <c r="G8" i="68" l="1"/>
  <c r="G8" i="41" l="1"/>
  <c r="I11" i="89" l="1"/>
  <c r="F11"/>
  <c r="E11"/>
  <c r="D11"/>
  <c r="G7" l="1"/>
  <c r="G11" i="6" l="1"/>
  <c r="G9"/>
  <c r="G12" i="14"/>
  <c r="G11" i="21"/>
  <c r="G9"/>
  <c r="G10" i="73"/>
  <c r="G12" i="37"/>
  <c r="G16" i="47"/>
  <c r="G15"/>
  <c r="G14"/>
  <c r="G13"/>
  <c r="G10"/>
  <c r="G9"/>
  <c r="G8"/>
  <c r="G8" i="62"/>
  <c r="S52" i="75" l="1"/>
  <c r="G48" i="35" l="1"/>
  <c r="G13" i="83" l="1"/>
  <c r="G7"/>
  <c r="G8" i="58"/>
  <c r="G11" i="10" l="1"/>
  <c r="G44" i="47"/>
  <c r="G41"/>
  <c r="G17" l="1"/>
  <c r="G11" i="56"/>
  <c r="G8" i="25" l="1"/>
  <c r="G11"/>
  <c r="N19" i="74" l="1"/>
  <c r="G8" i="73" s="1"/>
  <c r="G11"/>
  <c r="N19" i="38"/>
  <c r="G10" i="37" s="1"/>
  <c r="N20" i="15"/>
  <c r="G10" i="14" s="1"/>
  <c r="G11" i="16"/>
  <c r="N18" i="15" l="1"/>
  <c r="G8" i="14" l="1"/>
  <c r="N22" i="15"/>
  <c r="G13" i="14" s="1"/>
  <c r="N19" i="11"/>
  <c r="G10" i="10" s="1"/>
  <c r="D50" i="85" l="1"/>
  <c r="D44"/>
  <c r="D38"/>
  <c r="D31"/>
  <c r="D25"/>
  <c r="D20"/>
  <c r="D15"/>
  <c r="G7" i="6" l="1"/>
  <c r="F12" i="65"/>
  <c r="F18"/>
  <c r="F27"/>
  <c r="F34"/>
  <c r="F39"/>
  <c r="D39"/>
  <c r="D34"/>
  <c r="D27"/>
  <c r="D18"/>
  <c r="D12"/>
  <c r="D32" i="60"/>
  <c r="D25"/>
  <c r="D21"/>
  <c r="D13"/>
  <c r="D34" i="56"/>
  <c r="D12"/>
  <c r="D30" i="83"/>
  <c r="D24"/>
  <c r="D19"/>
  <c r="D14"/>
  <c r="D24" i="53"/>
  <c r="D17"/>
  <c r="D13"/>
  <c r="D9"/>
  <c r="D22" i="49"/>
  <c r="D15"/>
  <c r="D10"/>
  <c r="D44" i="47"/>
  <c r="D41"/>
  <c r="D33"/>
  <c r="D25"/>
  <c r="D18"/>
  <c r="D22" i="41"/>
  <c r="D18"/>
  <c r="D10"/>
  <c r="D19" i="39"/>
  <c r="D14"/>
  <c r="D9"/>
  <c r="D21" i="37"/>
  <c r="D13"/>
  <c r="D46" i="33"/>
  <c r="D40"/>
  <c r="D28"/>
  <c r="D21"/>
  <c r="D25" i="41" l="1"/>
  <c r="D25" i="49"/>
  <c r="D30" i="31"/>
  <c r="D23"/>
  <c r="D10"/>
  <c r="D29" i="73"/>
  <c r="D24"/>
  <c r="D18"/>
  <c r="D12"/>
  <c r="D29" i="25"/>
  <c r="D24"/>
  <c r="D17"/>
  <c r="D12"/>
  <c r="D26" i="21"/>
  <c r="D22"/>
  <c r="D17"/>
  <c r="D12"/>
  <c r="D29" i="14"/>
  <c r="D24"/>
  <c r="D14"/>
  <c r="D28" i="12" l="1"/>
  <c r="D23"/>
  <c r="D19"/>
  <c r="D14"/>
  <c r="G6" i="34" l="1"/>
  <c r="G7" i="47" l="1"/>
  <c r="G45" i="34" l="1"/>
  <c r="J8" l="1"/>
  <c r="F8"/>
  <c r="F14" i="32" l="1"/>
  <c r="N20" i="74" l="1"/>
  <c r="G9" i="73" s="1"/>
  <c r="G7" i="37"/>
  <c r="N20" i="40" l="1"/>
  <c r="G8" i="83" l="1"/>
  <c r="F37" i="34"/>
  <c r="G44" s="1"/>
  <c r="G48"/>
  <c r="G50"/>
  <c r="G54"/>
  <c r="G47"/>
  <c r="G43"/>
  <c r="D38" i="1" l="1"/>
  <c r="Q44" i="75" l="1"/>
  <c r="D26" i="1"/>
  <c r="F32" i="22"/>
  <c r="F36" l="1"/>
  <c r="F19" i="38" l="1"/>
  <c r="F16"/>
  <c r="G27" i="61" l="1"/>
  <c r="F30" i="47" l="1"/>
  <c r="I34" i="56" l="1"/>
  <c r="F34"/>
  <c r="E34"/>
  <c r="D32" i="83"/>
  <c r="I9" i="8" l="1"/>
  <c r="H9"/>
  <c r="G9"/>
  <c r="F9"/>
  <c r="E9"/>
  <c r="D9"/>
  <c r="D16" i="62"/>
  <c r="D13"/>
  <c r="D9"/>
  <c r="I4" i="47" l="1"/>
  <c r="H4"/>
  <c r="G4"/>
  <c r="F4"/>
  <c r="E4"/>
  <c r="D4"/>
  <c r="I4" i="49"/>
  <c r="H4"/>
  <c r="G4"/>
  <c r="F4"/>
  <c r="E4"/>
  <c r="D4"/>
  <c r="I4" i="53"/>
  <c r="H4"/>
  <c r="G4"/>
  <c r="F4"/>
  <c r="E4"/>
  <c r="D4"/>
  <c r="I4" i="83"/>
  <c r="H4"/>
  <c r="G4"/>
  <c r="F4"/>
  <c r="E4"/>
  <c r="D4"/>
  <c r="I4" i="56"/>
  <c r="H4"/>
  <c r="G4"/>
  <c r="F4"/>
  <c r="E4"/>
  <c r="D4"/>
  <c r="I4" i="58"/>
  <c r="H4"/>
  <c r="G4"/>
  <c r="F4"/>
  <c r="E4"/>
  <c r="D4"/>
  <c r="I4" i="60"/>
  <c r="H4"/>
  <c r="G4"/>
  <c r="F4"/>
  <c r="E4"/>
  <c r="D4"/>
  <c r="I4" i="62"/>
  <c r="H4"/>
  <c r="G4"/>
  <c r="F4"/>
  <c r="E4"/>
  <c r="D4"/>
  <c r="I3" i="65"/>
  <c r="H3"/>
  <c r="G3"/>
  <c r="F3"/>
  <c r="E3"/>
  <c r="D3"/>
  <c r="I3" i="66"/>
  <c r="H3"/>
  <c r="G3"/>
  <c r="F3"/>
  <c r="E3"/>
  <c r="D3"/>
  <c r="D46" i="68" l="1"/>
  <c r="D41"/>
  <c r="D36"/>
  <c r="D30"/>
  <c r="D22"/>
  <c r="D17"/>
  <c r="D12"/>
  <c r="D27" i="89"/>
  <c r="D24"/>
  <c r="D20"/>
  <c r="D16"/>
  <c r="F16" i="11"/>
  <c r="F22" s="1"/>
  <c r="A67" i="75" l="1"/>
  <c r="N19" i="90" l="1"/>
  <c r="G8" i="89" s="1"/>
  <c r="F19" i="90"/>
  <c r="F23" l="1"/>
  <c r="I27" i="89"/>
  <c r="G27"/>
  <c r="F27" s="1"/>
  <c r="E27"/>
  <c r="I24"/>
  <c r="G24"/>
  <c r="F24"/>
  <c r="E24"/>
  <c r="I20"/>
  <c r="G20"/>
  <c r="F20"/>
  <c r="E20"/>
  <c r="I16"/>
  <c r="G16"/>
  <c r="F16"/>
  <c r="E16"/>
  <c r="D29"/>
  <c r="A1"/>
  <c r="I29" l="1"/>
  <c r="E29"/>
  <c r="H29"/>
  <c r="F29"/>
  <c r="O17" i="71"/>
  <c r="G8" i="85" s="1"/>
  <c r="O16" i="71"/>
  <c r="I50" i="85"/>
  <c r="G50"/>
  <c r="G7" l="1"/>
  <c r="G15" s="1"/>
  <c r="O23" i="71"/>
  <c r="F50" i="85"/>
  <c r="E50"/>
  <c r="I44"/>
  <c r="F44"/>
  <c r="E44"/>
  <c r="I38"/>
  <c r="F38"/>
  <c r="E38"/>
  <c r="I31"/>
  <c r="F31"/>
  <c r="E31"/>
  <c r="I25"/>
  <c r="F25"/>
  <c r="E25"/>
  <c r="I20"/>
  <c r="F20"/>
  <c r="E20"/>
  <c r="I15"/>
  <c r="F15"/>
  <c r="E15"/>
  <c r="A1"/>
  <c r="F20" i="92"/>
  <c r="N19"/>
  <c r="G9" i="68" s="1"/>
  <c r="F19" i="92"/>
  <c r="F18"/>
  <c r="F17"/>
  <c r="I52" i="85" l="1"/>
  <c r="F23" i="92"/>
  <c r="E52" i="85"/>
  <c r="F52"/>
  <c r="D52"/>
  <c r="N20" i="92"/>
  <c r="G10" i="68" s="1"/>
  <c r="N17" i="92"/>
  <c r="G7" i="68" s="1"/>
  <c r="I46"/>
  <c r="G46"/>
  <c r="F46"/>
  <c r="E46"/>
  <c r="I41"/>
  <c r="G41"/>
  <c r="F41"/>
  <c r="E41"/>
  <c r="I36"/>
  <c r="F36"/>
  <c r="E36"/>
  <c r="D48"/>
  <c r="I30"/>
  <c r="F30"/>
  <c r="E30"/>
  <c r="I22"/>
  <c r="G22"/>
  <c r="F22"/>
  <c r="E22"/>
  <c r="I17"/>
  <c r="G17"/>
  <c r="F17"/>
  <c r="E17"/>
  <c r="I12"/>
  <c r="F12"/>
  <c r="E12"/>
  <c r="A1"/>
  <c r="I39" i="67"/>
  <c r="D56" i="1"/>
  <c r="Q47" i="75" s="1"/>
  <c r="F39" i="67"/>
  <c r="H39"/>
  <c r="E39"/>
  <c r="D39"/>
  <c r="A1"/>
  <c r="I14" i="66" s="1"/>
  <c r="I11"/>
  <c r="H11"/>
  <c r="G11"/>
  <c r="F11"/>
  <c r="E11"/>
  <c r="D11"/>
  <c r="A1"/>
  <c r="I39" i="65"/>
  <c r="E39"/>
  <c r="G39"/>
  <c r="I34"/>
  <c r="E34"/>
  <c r="G11" i="68" l="1"/>
  <c r="I48"/>
  <c r="H14" i="66"/>
  <c r="G14" s="1"/>
  <c r="D55" i="1" s="1"/>
  <c r="Q40" i="75" s="1"/>
  <c r="F48" i="68"/>
  <c r="E48"/>
  <c r="H48"/>
  <c r="F14" i="66"/>
  <c r="E14" s="1"/>
  <c r="D14" s="1"/>
  <c r="I27" i="65"/>
  <c r="E27"/>
  <c r="I18"/>
  <c r="E18"/>
  <c r="I12"/>
  <c r="E12"/>
  <c r="A1"/>
  <c r="F15" i="86"/>
  <c r="A1"/>
  <c r="D19" i="62"/>
  <c r="I16"/>
  <c r="G16"/>
  <c r="F16"/>
  <c r="E16"/>
  <c r="I13"/>
  <c r="G13"/>
  <c r="F13"/>
  <c r="E13"/>
  <c r="I9"/>
  <c r="F9"/>
  <c r="E9"/>
  <c r="A1"/>
  <c r="P27" i="61"/>
  <c r="G9" i="60" s="1"/>
  <c r="P25" i="61"/>
  <c r="P24"/>
  <c r="G6" i="60" s="1"/>
  <c r="G24" i="61"/>
  <c r="G31" s="1"/>
  <c r="A1"/>
  <c r="I32" i="60"/>
  <c r="G32"/>
  <c r="F32"/>
  <c r="E32"/>
  <c r="D35"/>
  <c r="I25"/>
  <c r="G25"/>
  <c r="F25"/>
  <c r="E25"/>
  <c r="I21"/>
  <c r="G21"/>
  <c r="F21"/>
  <c r="E21"/>
  <c r="I13"/>
  <c r="F13"/>
  <c r="E13"/>
  <c r="G7" l="1"/>
  <c r="G12"/>
  <c r="N23" i="92"/>
  <c r="G12" i="68"/>
  <c r="G48" s="1"/>
  <c r="I35" i="60"/>
  <c r="E19" i="62"/>
  <c r="F35" i="60"/>
  <c r="E35"/>
  <c r="I19" i="62"/>
  <c r="A1" i="90"/>
  <c r="A1" i="71"/>
  <c r="A1" i="92"/>
  <c r="A1" i="60"/>
  <c r="F15" i="99"/>
  <c r="N14"/>
  <c r="G7" i="58" s="1"/>
  <c r="F14" i="99"/>
  <c r="A1"/>
  <c r="I23" i="58"/>
  <c r="G23"/>
  <c r="F23"/>
  <c r="E23"/>
  <c r="D23"/>
  <c r="I18"/>
  <c r="G18"/>
  <c r="F18"/>
  <c r="E18"/>
  <c r="D18"/>
  <c r="I14"/>
  <c r="G14"/>
  <c r="F14"/>
  <c r="E14"/>
  <c r="D14"/>
  <c r="I9"/>
  <c r="F9"/>
  <c r="E9"/>
  <c r="D9"/>
  <c r="A1"/>
  <c r="G24" i="57"/>
  <c r="P23"/>
  <c r="G9" i="56" s="1"/>
  <c r="P31" i="61" l="1"/>
  <c r="F26" i="58"/>
  <c r="E26"/>
  <c r="I26"/>
  <c r="H26"/>
  <c r="D26"/>
  <c r="N17" i="99"/>
  <c r="F17"/>
  <c r="G9" i="58"/>
  <c r="G26" s="1"/>
  <c r="G22" i="57"/>
  <c r="P21"/>
  <c r="G7" i="56" s="1"/>
  <c r="G21" i="57"/>
  <c r="A12"/>
  <c r="A1"/>
  <c r="D30" i="1" l="1"/>
  <c r="P22" i="57"/>
  <c r="G8" i="56" s="1"/>
  <c r="G12" s="1"/>
  <c r="G27" i="57"/>
  <c r="P24"/>
  <c r="G10" i="56" s="1"/>
  <c r="P27" i="57" l="1"/>
  <c r="I12" i="56"/>
  <c r="I36" s="1"/>
  <c r="F12"/>
  <c r="F36" s="1"/>
  <c r="E12"/>
  <c r="E36" s="1"/>
  <c r="D36"/>
  <c r="A1"/>
  <c r="G11" i="83"/>
  <c r="F30" i="55"/>
  <c r="N29"/>
  <c r="G10" i="83" s="1"/>
  <c r="F19" i="55" l="1"/>
  <c r="F18"/>
  <c r="F17"/>
  <c r="A1"/>
  <c r="I30" i="83"/>
  <c r="F30"/>
  <c r="E30"/>
  <c r="I24"/>
  <c r="F24"/>
  <c r="E24"/>
  <c r="I19"/>
  <c r="F19"/>
  <c r="E19"/>
  <c r="I14"/>
  <c r="F14"/>
  <c r="E14"/>
  <c r="A1"/>
  <c r="D26" i="53"/>
  <c r="I24"/>
  <c r="G24"/>
  <c r="G26" s="1"/>
  <c r="F24"/>
  <c r="E24"/>
  <c r="I17"/>
  <c r="G17"/>
  <c r="F17"/>
  <c r="E17"/>
  <c r="I13"/>
  <c r="G13"/>
  <c r="F13"/>
  <c r="E13"/>
  <c r="I9"/>
  <c r="G9"/>
  <c r="F9"/>
  <c r="E9"/>
  <c r="A1"/>
  <c r="I22" i="49"/>
  <c r="F22"/>
  <c r="E22"/>
  <c r="I15"/>
  <c r="F15"/>
  <c r="E15"/>
  <c r="I10"/>
  <c r="F10"/>
  <c r="E10"/>
  <c r="A1"/>
  <c r="F35" i="48"/>
  <c r="G11" i="47"/>
  <c r="F33" i="48"/>
  <c r="F28"/>
  <c r="A17"/>
  <c r="N28"/>
  <c r="G6" i="47" s="1"/>
  <c r="G18" s="1"/>
  <c r="A1" i="48"/>
  <c r="I44" i="47"/>
  <c r="F44"/>
  <c r="E44"/>
  <c r="I41"/>
  <c r="F41"/>
  <c r="E41"/>
  <c r="I33"/>
  <c r="F33"/>
  <c r="E33"/>
  <c r="I25"/>
  <c r="F25"/>
  <c r="E25"/>
  <c r="I18"/>
  <c r="F18"/>
  <c r="E18"/>
  <c r="A1"/>
  <c r="G12" i="44"/>
  <c r="A1"/>
  <c r="I17" i="43"/>
  <c r="H17"/>
  <c r="G17"/>
  <c r="F17"/>
  <c r="E17"/>
  <c r="D17"/>
  <c r="I13"/>
  <c r="H13"/>
  <c r="G13"/>
  <c r="F13"/>
  <c r="E13"/>
  <c r="D13"/>
  <c r="I9"/>
  <c r="F9"/>
  <c r="E9"/>
  <c r="D9"/>
  <c r="A1"/>
  <c r="F16" i="42"/>
  <c r="A1"/>
  <c r="I22" i="41"/>
  <c r="G22"/>
  <c r="F22"/>
  <c r="E22"/>
  <c r="I18"/>
  <c r="G18"/>
  <c r="F18"/>
  <c r="E18"/>
  <c r="E20" i="43" l="1"/>
  <c r="D20"/>
  <c r="I25" i="49"/>
  <c r="I46" i="47"/>
  <c r="N18" i="42"/>
  <c r="G7" i="41"/>
  <c r="F18" i="42"/>
  <c r="I20" i="43"/>
  <c r="I32" i="83"/>
  <c r="F25" i="49"/>
  <c r="E25"/>
  <c r="E32" i="83"/>
  <c r="G15" i="44"/>
  <c r="F40" i="48"/>
  <c r="F32" i="83"/>
  <c r="F46" i="47"/>
  <c r="F26" i="53"/>
  <c r="I26"/>
  <c r="E26"/>
  <c r="E46" i="47"/>
  <c r="O15" i="44"/>
  <c r="G7" i="43" s="1"/>
  <c r="G9" s="1"/>
  <c r="N40" i="48"/>
  <c r="D46" i="47"/>
  <c r="I10" i="41"/>
  <c r="I25" s="1"/>
  <c r="F10"/>
  <c r="F25" s="1"/>
  <c r="E10"/>
  <c r="E25" s="1"/>
  <c r="A1"/>
  <c r="F20" i="40"/>
  <c r="N19"/>
  <c r="G7" i="39" s="1"/>
  <c r="G9" s="1"/>
  <c r="G21" s="1"/>
  <c r="F19" i="40"/>
  <c r="A1"/>
  <c r="I19" i="39"/>
  <c r="F19"/>
  <c r="E19"/>
  <c r="I14"/>
  <c r="F14"/>
  <c r="E14"/>
  <c r="I9"/>
  <c r="F9"/>
  <c r="E9"/>
  <c r="A1"/>
  <c r="N23" i="40" l="1"/>
  <c r="D27" i="1"/>
  <c r="F28" i="55"/>
  <c r="F34" s="1"/>
  <c r="G9" i="83"/>
  <c r="F23" i="40"/>
  <c r="I21" i="39"/>
  <c r="F21"/>
  <c r="H26" i="53"/>
  <c r="E21" i="39"/>
  <c r="D21"/>
  <c r="G10" i="41"/>
  <c r="G25" s="1"/>
  <c r="H9" i="43"/>
  <c r="H20" s="1"/>
  <c r="G20" s="1"/>
  <c r="H21" i="39"/>
  <c r="A1" i="38"/>
  <c r="I25" i="37"/>
  <c r="G25"/>
  <c r="F25"/>
  <c r="E25"/>
  <c r="D25"/>
  <c r="I21"/>
  <c r="G21"/>
  <c r="F21"/>
  <c r="E21"/>
  <c r="I13"/>
  <c r="F13"/>
  <c r="E13"/>
  <c r="A1"/>
  <c r="I1" i="36"/>
  <c r="A1"/>
  <c r="D23" i="1" l="1"/>
  <c r="D22"/>
  <c r="D21"/>
  <c r="H25" i="49"/>
  <c r="I28" i="37"/>
  <c r="E28"/>
  <c r="D28"/>
  <c r="F28"/>
  <c r="F20" i="43"/>
  <c r="F23" i="38"/>
  <c r="I48" i="35"/>
  <c r="F48"/>
  <c r="E48"/>
  <c r="G21" l="1"/>
  <c r="N23" i="38"/>
  <c r="I42" i="35"/>
  <c r="F42"/>
  <c r="E42"/>
  <c r="I31"/>
  <c r="F31"/>
  <c r="E31"/>
  <c r="I21"/>
  <c r="F21"/>
  <c r="E21"/>
  <c r="A1"/>
  <c r="A1" i="34"/>
  <c r="N1" s="1"/>
  <c r="Z1" s="1"/>
  <c r="I46" i="33"/>
  <c r="G46"/>
  <c r="G48" s="1"/>
  <c r="F46"/>
  <c r="E46"/>
  <c r="I40"/>
  <c r="F40"/>
  <c r="E40"/>
  <c r="I28"/>
  <c r="F28"/>
  <c r="E28"/>
  <c r="I21"/>
  <c r="F21"/>
  <c r="E21"/>
  <c r="A1"/>
  <c r="F18" i="32"/>
  <c r="N14"/>
  <c r="A1"/>
  <c r="I30" i="31"/>
  <c r="F30"/>
  <c r="E30"/>
  <c r="I23"/>
  <c r="F23"/>
  <c r="E23"/>
  <c r="I10"/>
  <c r="F10"/>
  <c r="E10"/>
  <c r="A1"/>
  <c r="N18" i="32" l="1"/>
  <c r="I50" i="35"/>
  <c r="I48" i="33"/>
  <c r="F48"/>
  <c r="E48"/>
  <c r="F33" i="31"/>
  <c r="D33"/>
  <c r="D50" i="35"/>
  <c r="E33" i="31"/>
  <c r="D48" i="33"/>
  <c r="I33" i="31"/>
  <c r="E50" i="35"/>
  <c r="F18" i="74"/>
  <c r="F24" s="1"/>
  <c r="A12" l="1"/>
  <c r="N18"/>
  <c r="G7" i="73" s="1"/>
  <c r="G12" s="1"/>
  <c r="A1" i="74"/>
  <c r="I29" i="73"/>
  <c r="F29"/>
  <c r="E29"/>
  <c r="I24"/>
  <c r="E24"/>
  <c r="F21"/>
  <c r="F24" s="1"/>
  <c r="I18"/>
  <c r="F18"/>
  <c r="E18"/>
  <c r="I12"/>
  <c r="E12"/>
  <c r="A1"/>
  <c r="N20" i="26"/>
  <c r="G9" i="25" s="1"/>
  <c r="I32" i="73" l="1"/>
  <c r="F24" i="26"/>
  <c r="E32" i="73"/>
  <c r="D32"/>
  <c r="N24" i="74" l="1"/>
  <c r="F12" i="73"/>
  <c r="F32" s="1"/>
  <c r="G7" i="25"/>
  <c r="G12" s="1"/>
  <c r="A1" i="26"/>
  <c r="I29" i="25"/>
  <c r="G29"/>
  <c r="F29"/>
  <c r="E29"/>
  <c r="I24"/>
  <c r="G24"/>
  <c r="F24"/>
  <c r="E24"/>
  <c r="I17"/>
  <c r="G17"/>
  <c r="F17"/>
  <c r="E17"/>
  <c r="I12"/>
  <c r="F12"/>
  <c r="E12"/>
  <c r="A1"/>
  <c r="N19" i="22"/>
  <c r="G8" i="21" s="1"/>
  <c r="F19" i="22"/>
  <c r="A1"/>
  <c r="I26" i="21"/>
  <c r="F26"/>
  <c r="E26"/>
  <c r="I32" i="25" l="1"/>
  <c r="N18" i="22"/>
  <c r="G7" i="21" s="1"/>
  <c r="G12" s="1"/>
  <c r="F18" i="22"/>
  <c r="G32" i="73"/>
  <c r="F32" i="25"/>
  <c r="E32"/>
  <c r="D32"/>
  <c r="I22" i="21"/>
  <c r="F22"/>
  <c r="E22"/>
  <c r="I17"/>
  <c r="F17"/>
  <c r="E17"/>
  <c r="I12"/>
  <c r="F12"/>
  <c r="E12"/>
  <c r="A1"/>
  <c r="F21" i="103"/>
  <c r="E21"/>
  <c r="D16" i="1" l="1"/>
  <c r="I28" i="21"/>
  <c r="F28"/>
  <c r="E28"/>
  <c r="D28"/>
  <c r="N24" i="26"/>
  <c r="M16" i="103"/>
  <c r="K16"/>
  <c r="J16"/>
  <c r="I16"/>
  <c r="H16"/>
  <c r="F16"/>
  <c r="E16"/>
  <c r="D16"/>
  <c r="D19" s="1"/>
  <c r="L16"/>
  <c r="G14"/>
  <c r="M11"/>
  <c r="L11"/>
  <c r="K11"/>
  <c r="J11"/>
  <c r="I11"/>
  <c r="H11"/>
  <c r="G11"/>
  <c r="F11"/>
  <c r="E11"/>
  <c r="D11"/>
  <c r="G5"/>
  <c r="F5"/>
  <c r="E5"/>
  <c r="D5"/>
  <c r="A1"/>
  <c r="N16" i="17"/>
  <c r="G8" i="16" s="1"/>
  <c r="F16" i="17"/>
  <c r="N15"/>
  <c r="G7" i="16" s="1"/>
  <c r="F12" i="17"/>
  <c r="A1"/>
  <c r="E19" i="103" l="1"/>
  <c r="K19"/>
  <c r="D13" i="1" s="1"/>
  <c r="L19" i="103"/>
  <c r="F19"/>
  <c r="G16"/>
  <c r="G19" s="1"/>
  <c r="I19"/>
  <c r="H19" s="1"/>
  <c r="J19"/>
  <c r="M19"/>
  <c r="I29" i="16"/>
  <c r="F29"/>
  <c r="E29"/>
  <c r="D29"/>
  <c r="I22"/>
  <c r="F22"/>
  <c r="E22"/>
  <c r="D22"/>
  <c r="I17"/>
  <c r="F17"/>
  <c r="E17"/>
  <c r="D17"/>
  <c r="I12"/>
  <c r="F12"/>
  <c r="E12"/>
  <c r="D12"/>
  <c r="A1"/>
  <c r="F21" i="15"/>
  <c r="N17"/>
  <c r="G7" i="14" s="1"/>
  <c r="G14" s="1"/>
  <c r="F17" i="15"/>
  <c r="E32" i="16" l="1"/>
  <c r="D32"/>
  <c r="F32"/>
  <c r="I32"/>
  <c r="A1" i="15"/>
  <c r="I29" i="14"/>
  <c r="G29"/>
  <c r="G32" s="1"/>
  <c r="F29"/>
  <c r="E29"/>
  <c r="I24"/>
  <c r="F24"/>
  <c r="E24"/>
  <c r="I14"/>
  <c r="F14"/>
  <c r="E14"/>
  <c r="A1"/>
  <c r="G10" i="12"/>
  <c r="N28" i="13"/>
  <c r="G9" i="12" s="1"/>
  <c r="I32" i="14" l="1"/>
  <c r="F32"/>
  <c r="E32"/>
  <c r="D32"/>
  <c r="G8" i="12"/>
  <c r="N32" i="13"/>
  <c r="G12" i="12" s="1"/>
  <c r="N26" i="13"/>
  <c r="G7" i="12" s="1"/>
  <c r="A1" i="13"/>
  <c r="I28" i="12"/>
  <c r="G28"/>
  <c r="F28"/>
  <c r="E28"/>
  <c r="I23"/>
  <c r="F23"/>
  <c r="E23"/>
  <c r="I19"/>
  <c r="F19"/>
  <c r="E19" s="1"/>
  <c r="I14"/>
  <c r="F14"/>
  <c r="E14"/>
  <c r="A1"/>
  <c r="N18" i="11"/>
  <c r="G9" i="10" s="1"/>
  <c r="R6" i="11"/>
  <c r="A1"/>
  <c r="G14" i="12" l="1"/>
  <c r="G31" s="1"/>
  <c r="I31"/>
  <c r="F31"/>
  <c r="D31"/>
  <c r="N34" i="13"/>
  <c r="F34" s="1"/>
  <c r="N16" i="11"/>
  <c r="E31" i="12"/>
  <c r="I26" i="10"/>
  <c r="G26"/>
  <c r="F26"/>
  <c r="E26"/>
  <c r="D26"/>
  <c r="I21"/>
  <c r="F21"/>
  <c r="E21"/>
  <c r="D21"/>
  <c r="I17"/>
  <c r="I12"/>
  <c r="F12"/>
  <c r="E12"/>
  <c r="D12"/>
  <c r="A1"/>
  <c r="I14" i="9"/>
  <c r="H14"/>
  <c r="G14"/>
  <c r="F14"/>
  <c r="E14"/>
  <c r="D14"/>
  <c r="I10"/>
  <c r="G10"/>
  <c r="F10"/>
  <c r="E10"/>
  <c r="D10"/>
  <c r="H10"/>
  <c r="A1"/>
  <c r="I24" i="8"/>
  <c r="G24"/>
  <c r="F24"/>
  <c r="E24"/>
  <c r="H24"/>
  <c r="I19"/>
  <c r="D19"/>
  <c r="E19"/>
  <c r="D28" i="10" l="1"/>
  <c r="I17" i="9"/>
  <c r="E27" i="8"/>
  <c r="I27"/>
  <c r="G7" i="10"/>
  <c r="G12" s="1"/>
  <c r="N22" i="11"/>
  <c r="E17" i="9"/>
  <c r="G17"/>
  <c r="F17"/>
  <c r="H17"/>
  <c r="E28" i="10"/>
  <c r="D17" i="9"/>
  <c r="D24" i="8"/>
  <c r="D27" s="1"/>
  <c r="H19"/>
  <c r="H27" s="1"/>
  <c r="I28" i="10"/>
  <c r="G19" i="8"/>
  <c r="G27" s="1"/>
  <c r="D7" i="1" s="1"/>
  <c r="A1" i="8"/>
  <c r="P31" i="7"/>
  <c r="G10" i="6" s="1"/>
  <c r="G31" i="7"/>
  <c r="D8" i="1" l="1"/>
  <c r="F19" i="8"/>
  <c r="F27" s="1"/>
  <c r="G27" i="7"/>
  <c r="P23"/>
  <c r="G23"/>
  <c r="P22"/>
  <c r="G22"/>
  <c r="P21"/>
  <c r="G21"/>
  <c r="P20"/>
  <c r="G20"/>
  <c r="P19"/>
  <c r="G19"/>
  <c r="A1"/>
  <c r="I30" i="6"/>
  <c r="H30"/>
  <c r="G30"/>
  <c r="E30"/>
  <c r="I26"/>
  <c r="E26"/>
  <c r="H26"/>
  <c r="I22"/>
  <c r="H22"/>
  <c r="E22"/>
  <c r="I14"/>
  <c r="E14"/>
  <c r="A1"/>
  <c r="P29" i="7" l="1"/>
  <c r="I33" i="6"/>
  <c r="D33"/>
  <c r="E33"/>
  <c r="E56" i="1"/>
  <c r="F56" s="1"/>
  <c r="D54"/>
  <c r="Q46" i="75" s="1"/>
  <c r="C54" i="1"/>
  <c r="E53"/>
  <c r="E52"/>
  <c r="F52" s="1"/>
  <c r="E51"/>
  <c r="E50"/>
  <c r="E49"/>
  <c r="F49" s="1"/>
  <c r="D48"/>
  <c r="Q45" i="75" s="1"/>
  <c r="C48" i="1"/>
  <c r="E47"/>
  <c r="D46"/>
  <c r="Q43" i="75" s="1"/>
  <c r="C46" i="1"/>
  <c r="E45"/>
  <c r="E44"/>
  <c r="E43"/>
  <c r="C42"/>
  <c r="E41"/>
  <c r="F47" l="1"/>
  <c r="E48"/>
  <c r="G29" i="7"/>
  <c r="G8" i="6"/>
  <c r="E46" i="1"/>
  <c r="F48"/>
  <c r="F45"/>
  <c r="E54"/>
  <c r="F53"/>
  <c r="E55"/>
  <c r="F44"/>
  <c r="F43"/>
  <c r="F51"/>
  <c r="E38"/>
  <c r="E37"/>
  <c r="E36"/>
  <c r="E35"/>
  <c r="F35" s="1"/>
  <c r="F46" l="1"/>
  <c r="F38"/>
  <c r="F41"/>
  <c r="F37"/>
  <c r="F36"/>
  <c r="E30"/>
  <c r="E27"/>
  <c r="E26"/>
  <c r="E24"/>
  <c r="E23"/>
  <c r="E22"/>
  <c r="E21"/>
  <c r="E16"/>
  <c r="F22" l="1"/>
  <c r="F27"/>
  <c r="F30"/>
  <c r="F16"/>
  <c r="F26"/>
  <c r="F21"/>
  <c r="F23"/>
  <c r="E8" l="1"/>
  <c r="F8" s="1"/>
  <c r="E7"/>
  <c r="M40" i="81"/>
  <c r="Q39"/>
  <c r="Q38"/>
  <c r="O40"/>
  <c r="O35"/>
  <c r="M35"/>
  <c r="Q34"/>
  <c r="Q33"/>
  <c r="Q32"/>
  <c r="O30"/>
  <c r="M30"/>
  <c r="Q29"/>
  <c r="Q28"/>
  <c r="Q27"/>
  <c r="O25"/>
  <c r="M25"/>
  <c r="O19"/>
  <c r="M19"/>
  <c r="Q18"/>
  <c r="Q17"/>
  <c r="Q16"/>
  <c r="S16" s="1"/>
  <c r="O14"/>
  <c r="M14"/>
  <c r="Q13"/>
  <c r="Q12"/>
  <c r="Q11"/>
  <c r="O9"/>
  <c r="M9"/>
  <c r="Q8"/>
  <c r="Q7"/>
  <c r="Q6"/>
  <c r="Q35" l="1"/>
  <c r="S35" s="1"/>
  <c r="O21"/>
  <c r="O42"/>
  <c r="M42"/>
  <c r="S28"/>
  <c r="S27"/>
  <c r="S17"/>
  <c r="Q14"/>
  <c r="S14" s="1"/>
  <c r="S11"/>
  <c r="M21"/>
  <c r="S7"/>
  <c r="Q9"/>
  <c r="S9" s="1"/>
  <c r="S6"/>
  <c r="S29"/>
  <c r="S39"/>
  <c r="Q30"/>
  <c r="C33" i="1"/>
  <c r="C58" s="1"/>
  <c r="Q37" i="81"/>
  <c r="E13" i="1"/>
  <c r="F13" s="1"/>
  <c r="S34" i="81"/>
  <c r="Q19"/>
  <c r="S19" s="1"/>
  <c r="S32"/>
  <c r="F7" i="1"/>
  <c r="O45" i="81" l="1"/>
  <c r="M45"/>
  <c r="Q40"/>
  <c r="S40" s="1"/>
  <c r="S37"/>
  <c r="S30"/>
  <c r="Q21"/>
  <c r="Q42" l="1"/>
  <c r="S42" s="1"/>
  <c r="S21"/>
  <c r="Q45" l="1"/>
  <c r="E86" i="75"/>
  <c r="E90" s="1"/>
  <c r="I82"/>
  <c r="I86" l="1"/>
  <c r="E82"/>
  <c r="Q80"/>
  <c r="O80"/>
  <c r="O60"/>
  <c r="K60"/>
  <c r="G60"/>
  <c r="G86" l="1"/>
  <c r="S58"/>
  <c r="I58"/>
  <c r="S57"/>
  <c r="M57"/>
  <c r="M60" s="1"/>
  <c r="I57"/>
  <c r="E57"/>
  <c r="E60" s="1"/>
  <c r="Q54"/>
  <c r="O54"/>
  <c r="M54"/>
  <c r="M84" s="1"/>
  <c r="K54"/>
  <c r="I54"/>
  <c r="G54"/>
  <c r="E54"/>
  <c r="S53"/>
  <c r="S51"/>
  <c r="U51" s="1"/>
  <c r="E48"/>
  <c r="M47"/>
  <c r="G47"/>
  <c r="M46"/>
  <c r="M45"/>
  <c r="M44"/>
  <c r="M43"/>
  <c r="I60" l="1"/>
  <c r="K84"/>
  <c r="I84" s="1"/>
  <c r="S54"/>
  <c r="S84" s="1"/>
  <c r="Q84" s="1"/>
  <c r="O84" s="1"/>
  <c r="E62"/>
  <c r="S59"/>
  <c r="Q60"/>
  <c r="K42"/>
  <c r="I42"/>
  <c r="M41"/>
  <c r="M42" s="1"/>
  <c r="K41"/>
  <c r="M40"/>
  <c r="M39"/>
  <c r="K39"/>
  <c r="Q37"/>
  <c r="O37"/>
  <c r="M37"/>
  <c r="S27"/>
  <c r="K27"/>
  <c r="I27"/>
  <c r="S26"/>
  <c r="U26" s="1"/>
  <c r="S25"/>
  <c r="S24"/>
  <c r="S23"/>
  <c r="O28"/>
  <c r="S22"/>
  <c r="U25" l="1"/>
  <c r="G84"/>
  <c r="E84" s="1"/>
  <c r="I88"/>
  <c r="U53"/>
  <c r="S60"/>
  <c r="U59"/>
  <c r="O48"/>
  <c r="M21"/>
  <c r="M28" s="1"/>
  <c r="K21"/>
  <c r="G21"/>
  <c r="E21"/>
  <c r="Q18"/>
  <c r="O18"/>
  <c r="M18"/>
  <c r="S17"/>
  <c r="K17"/>
  <c r="I17"/>
  <c r="G17"/>
  <c r="E17"/>
  <c r="S16"/>
  <c r="I16"/>
  <c r="M13"/>
  <c r="G13"/>
  <c r="E13"/>
  <c r="I18" l="1"/>
  <c r="G18" s="1"/>
  <c r="E18" s="1"/>
  <c r="S18"/>
  <c r="S73" s="1"/>
  <c r="Q73"/>
  <c r="O73" s="1"/>
  <c r="K28"/>
  <c r="M75"/>
  <c r="M30"/>
  <c r="S12"/>
  <c r="U16"/>
  <c r="Q28"/>
  <c r="S21"/>
  <c r="U54"/>
  <c r="K18"/>
  <c r="M73"/>
  <c r="M48"/>
  <c r="O82"/>
  <c r="S86"/>
  <c r="Q86" s="1"/>
  <c r="O86" s="1"/>
  <c r="M86" s="1"/>
  <c r="K86" s="1"/>
  <c r="U60"/>
  <c r="U86" s="1"/>
  <c r="S11"/>
  <c r="U11" s="1"/>
  <c r="S9"/>
  <c r="S7"/>
  <c r="K7"/>
  <c r="I7"/>
  <c r="K73" l="1"/>
  <c r="G73" s="1"/>
  <c r="S28"/>
  <c r="U21"/>
  <c r="U17"/>
  <c r="U7"/>
  <c r="U9"/>
  <c r="O13"/>
  <c r="O30" s="1"/>
  <c r="I28"/>
  <c r="G28" s="1"/>
  <c r="K75"/>
  <c r="U57"/>
  <c r="K8"/>
  <c r="Q13"/>
  <c r="Q30" s="1"/>
  <c r="S10"/>
  <c r="U10" s="1"/>
  <c r="M82"/>
  <c r="M88" s="1"/>
  <c r="K48"/>
  <c r="M62"/>
  <c r="M64" s="1"/>
  <c r="S40"/>
  <c r="U40" s="1"/>
  <c r="S41"/>
  <c r="U41" s="1"/>
  <c r="S45"/>
  <c r="U45" s="1"/>
  <c r="S47"/>
  <c r="U47" s="1"/>
  <c r="S43"/>
  <c r="U43" s="1"/>
  <c r="S44"/>
  <c r="U44" s="1"/>
  <c r="S46"/>
  <c r="U46" s="1"/>
  <c r="O62"/>
  <c r="O88"/>
  <c r="I90"/>
  <c r="F33" i="6"/>
  <c r="G32" i="25"/>
  <c r="F50" i="35"/>
  <c r="G46" i="47"/>
  <c r="G10" i="31"/>
  <c r="G33" s="1"/>
  <c r="F24" i="1"/>
  <c r="F54"/>
  <c r="F50"/>
  <c r="D25" l="1"/>
  <c r="E25" s="1"/>
  <c r="F25" s="1"/>
  <c r="D17"/>
  <c r="E17" s="1"/>
  <c r="F17" s="1"/>
  <c r="D15"/>
  <c r="E15" s="1"/>
  <c r="F15" s="1"/>
  <c r="O64" i="75"/>
  <c r="H46" i="47"/>
  <c r="H52" i="85"/>
  <c r="H35" i="60"/>
  <c r="G13" i="37"/>
  <c r="G28" s="1"/>
  <c r="G52" i="85"/>
  <c r="G36" i="56"/>
  <c r="G13" i="60"/>
  <c r="G35" s="1"/>
  <c r="H48" i="33"/>
  <c r="H36" i="56"/>
  <c r="H31" i="12"/>
  <c r="H28" i="37"/>
  <c r="I48" i="75"/>
  <c r="G48" s="1"/>
  <c r="K82"/>
  <c r="K88" s="1"/>
  <c r="K62"/>
  <c r="E28"/>
  <c r="G75"/>
  <c r="G30"/>
  <c r="U18"/>
  <c r="U73" s="1"/>
  <c r="I8"/>
  <c r="K13"/>
  <c r="U58"/>
  <c r="S75"/>
  <c r="Q75" s="1"/>
  <c r="O75" s="1"/>
  <c r="U28"/>
  <c r="U75" s="1"/>
  <c r="I62" l="1"/>
  <c r="D18" i="1"/>
  <c r="E18" s="1"/>
  <c r="F18" s="1"/>
  <c r="D29"/>
  <c r="D20"/>
  <c r="D31"/>
  <c r="E31" s="1"/>
  <c r="F31" s="1"/>
  <c r="D10"/>
  <c r="E10" s="1"/>
  <c r="F10" s="1"/>
  <c r="G77" i="75"/>
  <c r="G82"/>
  <c r="G62"/>
  <c r="G88" s="1"/>
  <c r="E88" s="1"/>
  <c r="U27"/>
  <c r="E30"/>
  <c r="E64" s="1"/>
  <c r="U22"/>
  <c r="U84"/>
  <c r="I13"/>
  <c r="K30"/>
  <c r="E29" i="1" l="1"/>
  <c r="F29" s="1"/>
  <c r="G64" i="75"/>
  <c r="G90"/>
  <c r="U23"/>
  <c r="I30"/>
  <c r="K64"/>
  <c r="N31" i="55"/>
  <c r="H32" i="83"/>
  <c r="G50" i="35"/>
  <c r="G28" i="21"/>
  <c r="N24" i="15"/>
  <c r="S8" i="75"/>
  <c r="S13" s="1"/>
  <c r="N17" i="17"/>
  <c r="G10" i="16" s="1"/>
  <c r="O71" i="75"/>
  <c r="O77" s="1"/>
  <c r="O90" s="1"/>
  <c r="M71"/>
  <c r="M77" s="1"/>
  <c r="M90" s="1"/>
  <c r="G12" i="6"/>
  <c r="G14" s="1"/>
  <c r="N15" i="86"/>
  <c r="Q71" i="75"/>
  <c r="Q77" s="1"/>
  <c r="D34" i="1"/>
  <c r="Q42" i="75" s="1"/>
  <c r="K71"/>
  <c r="K77" s="1"/>
  <c r="K90" s="1"/>
  <c r="G71"/>
  <c r="E20" i="1"/>
  <c r="F28" i="10"/>
  <c r="F19" i="62"/>
  <c r="G36" i="7"/>
  <c r="F24" i="15"/>
  <c r="F21" i="17"/>
  <c r="F23" i="22"/>
  <c r="N23"/>
  <c r="F21" i="86"/>
  <c r="R8" i="90"/>
  <c r="N20" s="1"/>
  <c r="G9" i="89" l="1"/>
  <c r="G11" s="1"/>
  <c r="G29" s="1"/>
  <c r="D19" i="1"/>
  <c r="E19" s="1"/>
  <c r="F19" s="1"/>
  <c r="D14"/>
  <c r="E14" s="1"/>
  <c r="F14" s="1"/>
  <c r="N34" i="55"/>
  <c r="G12" i="83"/>
  <c r="G14" s="1"/>
  <c r="G32" s="1"/>
  <c r="N21" i="17"/>
  <c r="G12" i="16"/>
  <c r="G32" s="1"/>
  <c r="N21" i="86"/>
  <c r="G7" i="62"/>
  <c r="G9" s="1"/>
  <c r="G19" s="1"/>
  <c r="S42" i="75"/>
  <c r="U42" s="1"/>
  <c r="I64"/>
  <c r="P36" i="7"/>
  <c r="D42" i="1"/>
  <c r="E34"/>
  <c r="F20"/>
  <c r="N23" i="90"/>
  <c r="G28" i="10"/>
  <c r="G33" i="6"/>
  <c r="U8" i="75"/>
  <c r="S71"/>
  <c r="U13"/>
  <c r="U71" s="1"/>
  <c r="S30"/>
  <c r="H14" i="6"/>
  <c r="H33" s="1"/>
  <c r="H32" i="14"/>
  <c r="D12" i="1" l="1"/>
  <c r="D32"/>
  <c r="D9"/>
  <c r="E9" s="1"/>
  <c r="F9" s="1"/>
  <c r="D11"/>
  <c r="E11" s="1"/>
  <c r="F11" s="1"/>
  <c r="D28"/>
  <c r="E28" s="1"/>
  <c r="F28" s="1"/>
  <c r="D6"/>
  <c r="E42"/>
  <c r="F42" s="1"/>
  <c r="F34"/>
  <c r="S77" i="75"/>
  <c r="U30"/>
  <c r="U77" s="1"/>
  <c r="E32" i="1" l="1"/>
  <c r="F32" s="1"/>
  <c r="E12"/>
  <c r="F12" s="1"/>
  <c r="D33"/>
  <c r="E6"/>
  <c r="F6" s="1"/>
  <c r="D58" l="1"/>
  <c r="Q39" i="75"/>
  <c r="S39" s="1"/>
  <c r="E33" i="1"/>
  <c r="F33" s="1"/>
  <c r="Q48" i="75" l="1"/>
  <c r="Q82" s="1"/>
  <c r="Q88" s="1"/>
  <c r="Q90" s="1"/>
  <c r="E58" i="1"/>
  <c r="F58" s="1"/>
  <c r="U39" i="75"/>
  <c r="S48"/>
  <c r="Q62" l="1"/>
  <c r="Q64" s="1"/>
  <c r="U48"/>
  <c r="U82" s="1"/>
  <c r="S82"/>
  <c r="S62" l="1"/>
  <c r="S64" s="1"/>
  <c r="S88" l="1"/>
  <c r="S90" s="1"/>
  <c r="U62"/>
  <c r="U88" s="1"/>
</calcChain>
</file>

<file path=xl/comments1.xml><?xml version="1.0" encoding="utf-8"?>
<comments xmlns="http://schemas.openxmlformats.org/spreadsheetml/2006/main">
  <authors>
    <author>mbohinc</author>
  </authors>
  <commentList>
    <comment ref="F7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mbohinc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mbohinc:</t>
        </r>
        <r>
          <rPr>
            <sz val="8"/>
            <color indexed="81"/>
            <rFont val="Tahoma"/>
            <family val="2"/>
          </rPr>
          <t xml:space="preserve">
includes debris cleanup</t>
        </r>
      </text>
    </comment>
    <comment ref="E14" authorId="0">
      <text>
        <r>
          <rPr>
            <b/>
            <sz val="8"/>
            <color indexed="81"/>
            <rFont val="Tahoma"/>
            <family val="2"/>
          </rPr>
          <t>mbohinc:</t>
        </r>
        <r>
          <rPr>
            <sz val="8"/>
            <color indexed="81"/>
            <rFont val="Tahoma"/>
            <family val="2"/>
          </rPr>
          <t xml:space="preserve">
includes debris cleanup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mbohinc:</t>
        </r>
        <r>
          <rPr>
            <sz val="8"/>
            <color indexed="81"/>
            <rFont val="Tahoma"/>
            <family val="2"/>
          </rPr>
          <t xml:space="preserve">
includes debris cleanup</t>
        </r>
      </text>
    </comment>
    <comment ref="E20" authorId="0">
      <text>
        <r>
          <rPr>
            <b/>
            <sz val="8"/>
            <color indexed="81"/>
            <rFont val="Tahoma"/>
            <family val="2"/>
          </rPr>
          <t>mbohinc:</t>
        </r>
        <r>
          <rPr>
            <sz val="8"/>
            <color indexed="81"/>
            <rFont val="Tahoma"/>
            <family val="2"/>
          </rPr>
          <t xml:space="preserve">
includes debris cleanup</t>
        </r>
      </text>
    </comment>
  </commentList>
</comments>
</file>

<file path=xl/sharedStrings.xml><?xml version="1.0" encoding="utf-8"?>
<sst xmlns="http://schemas.openxmlformats.org/spreadsheetml/2006/main" count="3124" uniqueCount="768">
  <si>
    <t xml:space="preserve"> </t>
  </si>
  <si>
    <t>5111</t>
  </si>
  <si>
    <t>5112</t>
  </si>
  <si>
    <t>5113</t>
  </si>
  <si>
    <t>5120</t>
  </si>
  <si>
    <t>5130</t>
  </si>
  <si>
    <t>5140</t>
  </si>
  <si>
    <t>5150</t>
  </si>
  <si>
    <t>5170</t>
  </si>
  <si>
    <t>5190</t>
  </si>
  <si>
    <t>5195</t>
  </si>
  <si>
    <t>5210</t>
  </si>
  <si>
    <t>5230</t>
  </si>
  <si>
    <t>5240</t>
  </si>
  <si>
    <t>5270</t>
  </si>
  <si>
    <t>5290</t>
  </si>
  <si>
    <t>5300</t>
  </si>
  <si>
    <t>5305</t>
  </si>
  <si>
    <t>5340</t>
  </si>
  <si>
    <t>5350</t>
  </si>
  <si>
    <t>5380</t>
  </si>
  <si>
    <t>5420</t>
  </si>
  <si>
    <t>5430</t>
  </si>
  <si>
    <t>5450</t>
  </si>
  <si>
    <t>5460</t>
  </si>
  <si>
    <t>5480</t>
  </si>
  <si>
    <t>5490</t>
  </si>
  <si>
    <t>5500</t>
  </si>
  <si>
    <t>5510</t>
  </si>
  <si>
    <t>5530</t>
  </si>
  <si>
    <t>5580</t>
  </si>
  <si>
    <t>5710</t>
  </si>
  <si>
    <t>5720</t>
  </si>
  <si>
    <t>5730</t>
  </si>
  <si>
    <t>5760</t>
  </si>
  <si>
    <t>5780</t>
  </si>
  <si>
    <t>5825</t>
  </si>
  <si>
    <t>5870</t>
  </si>
  <si>
    <t>Personnel</t>
  </si>
  <si>
    <t>Other Charges</t>
  </si>
  <si>
    <t>Total Departmental Budget Total</t>
  </si>
  <si>
    <t>Description</t>
  </si>
  <si>
    <t>Department</t>
  </si>
  <si>
    <t>Supplies</t>
  </si>
  <si>
    <t>Purchase of Services</t>
  </si>
  <si>
    <t>Department Head</t>
  </si>
  <si>
    <t>Permanent Personnel</t>
  </si>
  <si>
    <t>Wages Temporary Personnel</t>
  </si>
  <si>
    <t>Overtime</t>
  </si>
  <si>
    <t>Differentials</t>
  </si>
  <si>
    <t>Injured Leave</t>
  </si>
  <si>
    <t>Other Personal Services</t>
  </si>
  <si>
    <t>Contractual</t>
  </si>
  <si>
    <t>Repairs &amp; Maintenance</t>
  </si>
  <si>
    <t>Rentals &amp; Leases</t>
  </si>
  <si>
    <t>Other Property Services</t>
  </si>
  <si>
    <t>Professional &amp; Technical</t>
  </si>
  <si>
    <t>Prof &amp; Tech - Consultants</t>
  </si>
  <si>
    <t>Communication</t>
  </si>
  <si>
    <t>Other Purchased Services</t>
  </si>
  <si>
    <t>Office Supplies</t>
  </si>
  <si>
    <t>Bldg &amp; Equipment Repairs</t>
  </si>
  <si>
    <t>Custodial &amp; Housekeeping</t>
  </si>
  <si>
    <t>Groundskeeping</t>
  </si>
  <si>
    <t>Vehicles</t>
  </si>
  <si>
    <t>Food &amp; Service</t>
  </si>
  <si>
    <t>Medical &amp; Surgical</t>
  </si>
  <si>
    <t>Educational</t>
  </si>
  <si>
    <t>Public Works</t>
  </si>
  <si>
    <t>Other Supplies</t>
  </si>
  <si>
    <t>Instate Travel</t>
  </si>
  <si>
    <t>Dues &amp; Memberships</t>
  </si>
  <si>
    <t>Insurance</t>
  </si>
  <si>
    <t>Veterans Benefits</t>
  </si>
  <si>
    <t>Fuel Reserve</t>
  </si>
  <si>
    <t>Unclassified</t>
  </si>
  <si>
    <t>Weights &amp; Measures</t>
  </si>
  <si>
    <t>Historical Commission</t>
  </si>
  <si>
    <t>Enjoy Hull</t>
  </si>
  <si>
    <t>Replacement Equipment</t>
  </si>
  <si>
    <t>Department:</t>
  </si>
  <si>
    <t>Town Manager Recommend</t>
  </si>
  <si>
    <t>Advisory Board Recommend</t>
  </si>
  <si>
    <t>Hire Date</t>
  </si>
  <si>
    <t>YOS</t>
  </si>
  <si>
    <t>Contract</t>
  </si>
  <si>
    <t>Grade</t>
  </si>
  <si>
    <t>Step</t>
  </si>
  <si>
    <t>Annual (1)</t>
  </si>
  <si>
    <t>Per Period (2)</t>
  </si>
  <si>
    <t>Hourly (3)</t>
  </si>
  <si>
    <t>Longevity</t>
  </si>
  <si>
    <t>FY11</t>
  </si>
  <si>
    <t>N/A</t>
  </si>
  <si>
    <t>Permanent Positions</t>
  </si>
  <si>
    <t>S-11</t>
  </si>
  <si>
    <t>Summary</t>
  </si>
  <si>
    <t>(3) For contract employees, the amount per hour per contract</t>
  </si>
  <si>
    <t>Elected</t>
  </si>
  <si>
    <t>DPW</t>
  </si>
  <si>
    <t>S-10</t>
  </si>
  <si>
    <t>Department Head - Advisory Board</t>
  </si>
  <si>
    <t>141 Assessor</t>
  </si>
  <si>
    <t>SULLIVAN</t>
  </si>
  <si>
    <t>145 Treasurer/Collector</t>
  </si>
  <si>
    <t>161 Town Clerk</t>
  </si>
  <si>
    <t>MAHONEY</t>
  </si>
  <si>
    <t>192 Town Buildings</t>
  </si>
  <si>
    <t>Town Reports</t>
  </si>
  <si>
    <t>Temporary Personnel</t>
  </si>
  <si>
    <t>151 Town Counsel</t>
  </si>
  <si>
    <t>610 Library</t>
  </si>
  <si>
    <t>JOHNSON</t>
  </si>
  <si>
    <t>KELLY</t>
  </si>
  <si>
    <t>W5</t>
  </si>
  <si>
    <t>W6</t>
  </si>
  <si>
    <t>297 Shellfish Warden</t>
  </si>
  <si>
    <t>292 Animal Control</t>
  </si>
  <si>
    <t>291 Emergency Management</t>
  </si>
  <si>
    <t>THOMAS</t>
  </si>
  <si>
    <t>WALSH</t>
  </si>
  <si>
    <t>Fire</t>
  </si>
  <si>
    <t>Chief</t>
  </si>
  <si>
    <t>Captain</t>
  </si>
  <si>
    <t>BUCKLEY</t>
  </si>
  <si>
    <t>FRAZIER</t>
  </si>
  <si>
    <t>LYNCH</t>
  </si>
  <si>
    <t>PEARSON</t>
  </si>
  <si>
    <t>RUSSO</t>
  </si>
  <si>
    <t>Deputy</t>
  </si>
  <si>
    <t>THOMPSON</t>
  </si>
  <si>
    <t>TWOMBLY</t>
  </si>
  <si>
    <t>Tax Title Filings</t>
  </si>
  <si>
    <t>Department Head - Kurt Bornheim</t>
  </si>
  <si>
    <t>541 Council on Aging</t>
  </si>
  <si>
    <t>650 Park &amp; Rec</t>
  </si>
  <si>
    <t>Other</t>
  </si>
  <si>
    <t>Fees on Borrowing</t>
  </si>
  <si>
    <t>Health &amp; Life Insurance</t>
  </si>
  <si>
    <t>Townwide Insurance</t>
  </si>
  <si>
    <t>Debt</t>
  </si>
  <si>
    <t>0710-6-5910</t>
  </si>
  <si>
    <t>0712-6-5910</t>
  </si>
  <si>
    <t>0750-6-5915</t>
  </si>
  <si>
    <t>0751-6-5917</t>
  </si>
  <si>
    <t>0751-6-5925</t>
  </si>
  <si>
    <t>0752-6-5915</t>
  </si>
  <si>
    <t>Pension</t>
  </si>
  <si>
    <t>0911-1-5170</t>
  </si>
  <si>
    <t>0918-1-5170</t>
  </si>
  <si>
    <t>Contributory</t>
  </si>
  <si>
    <t>Non Contributory</t>
  </si>
  <si>
    <t>0912-6-5300</t>
  </si>
  <si>
    <t>0913-6-5740</t>
  </si>
  <si>
    <t>0914-6-5740</t>
  </si>
  <si>
    <t>0915-6-5740</t>
  </si>
  <si>
    <t>0916-6-5740</t>
  </si>
  <si>
    <t>0920-6-5700</t>
  </si>
  <si>
    <t>Principal-Debt Excluded</t>
  </si>
  <si>
    <t>Interest-Debt Excluded</t>
  </si>
  <si>
    <t>Principal-General Long Term</t>
  </si>
  <si>
    <t>Interest-General Long Term</t>
  </si>
  <si>
    <t>Interest-Temp Borrowing</t>
  </si>
  <si>
    <t>Capital Expenses</t>
  </si>
  <si>
    <t>Police</t>
  </si>
  <si>
    <t xml:space="preserve">210 Police </t>
  </si>
  <si>
    <t>Patrol</t>
  </si>
  <si>
    <t>Sergeant</t>
  </si>
  <si>
    <t>CHAGNON</t>
  </si>
  <si>
    <t>CONNEELY</t>
  </si>
  <si>
    <t>DUNN</t>
  </si>
  <si>
    <t>FAHEY</t>
  </si>
  <si>
    <t>FLAHERTY</t>
  </si>
  <si>
    <t>GALLAGHER</t>
  </si>
  <si>
    <t>GALLUZZO</t>
  </si>
  <si>
    <t>LEPRO</t>
  </si>
  <si>
    <t>REILLY</t>
  </si>
  <si>
    <t>SAUNDERS</t>
  </si>
  <si>
    <t>SHEA</t>
  </si>
  <si>
    <t>Lieutenant</t>
  </si>
  <si>
    <t>Annual comp for elected officials set at the Annual Town Meeting</t>
  </si>
  <si>
    <t>(1) Annual comp is set at the Annual Town Meeting</t>
  </si>
  <si>
    <t>Town Manager</t>
  </si>
  <si>
    <t>Dollar</t>
  </si>
  <si>
    <t>Approp</t>
  </si>
  <si>
    <t>Recommends</t>
  </si>
  <si>
    <t>Change</t>
  </si>
  <si>
    <t>Assessors</t>
  </si>
  <si>
    <t>Law Department</t>
  </si>
  <si>
    <t>Town Clerk</t>
  </si>
  <si>
    <t>Town Buildings</t>
  </si>
  <si>
    <t>Police Department</t>
  </si>
  <si>
    <t>Fire Department</t>
  </si>
  <si>
    <t>Building Department</t>
  </si>
  <si>
    <t>Animal Control</t>
  </si>
  <si>
    <t>Shellfish</t>
  </si>
  <si>
    <t>School</t>
  </si>
  <si>
    <t>Snow Removal</t>
  </si>
  <si>
    <t>Park Maintenance</t>
  </si>
  <si>
    <t>Board of Health</t>
  </si>
  <si>
    <t>Council on Aging</t>
  </si>
  <si>
    <t>Library</t>
  </si>
  <si>
    <t>Park and Recreation</t>
  </si>
  <si>
    <t>Department Budgets</t>
  </si>
  <si>
    <t>Insurance Total</t>
  </si>
  <si>
    <t>Pension Total</t>
  </si>
  <si>
    <t>Debt Service Total</t>
  </si>
  <si>
    <t>Total Budget</t>
  </si>
  <si>
    <t>Audit</t>
  </si>
  <si>
    <t>Reserve Transfers to Other Departments</t>
  </si>
  <si>
    <t>0543-6-5770</t>
  </si>
  <si>
    <t>Treasurer/Collector</t>
  </si>
  <si>
    <t>5961</t>
  </si>
  <si>
    <t>601-0295 Harbor</t>
  </si>
  <si>
    <t>Principal</t>
  </si>
  <si>
    <t>Interest</t>
  </si>
  <si>
    <t>Debt Fees</t>
  </si>
  <si>
    <t>5910</t>
  </si>
  <si>
    <t>5915</t>
  </si>
  <si>
    <t>5917</t>
  </si>
  <si>
    <t>Infrastructure Improvement</t>
  </si>
  <si>
    <t>Emergency Repair</t>
  </si>
  <si>
    <t>Capital</t>
  </si>
  <si>
    <t>Position 1</t>
  </si>
  <si>
    <t>Chair</t>
  </si>
  <si>
    <t>Position 2</t>
  </si>
  <si>
    <t>Position 3</t>
  </si>
  <si>
    <t>Position 4</t>
  </si>
  <si>
    <t>Replacement Equipment-Police Vehicles</t>
  </si>
  <si>
    <t>Total Capital Budget Total</t>
  </si>
  <si>
    <t>Town Wide</t>
  </si>
  <si>
    <t>Information Technology</t>
  </si>
  <si>
    <t>Percent</t>
  </si>
  <si>
    <t>Reserve Fund</t>
  </si>
  <si>
    <t>FY12</t>
  </si>
  <si>
    <t>0132-6-5779</t>
  </si>
  <si>
    <t>DUNN, T</t>
  </si>
  <si>
    <t>RESNICK</t>
  </si>
  <si>
    <t>FY13</t>
  </si>
  <si>
    <t>Out of State Travel</t>
  </si>
  <si>
    <t>543 Veterans Services</t>
  </si>
  <si>
    <t>Debt Service</t>
  </si>
  <si>
    <t>Interest-Short Term</t>
  </si>
  <si>
    <t>5925</t>
  </si>
  <si>
    <t>Aucoin, W</t>
  </si>
  <si>
    <t>Department head position budgeted at 19 hours per week</t>
  </si>
  <si>
    <t>0124-6-5230</t>
  </si>
  <si>
    <t>Town Wide Total</t>
  </si>
  <si>
    <t>General Government Support</t>
  </si>
  <si>
    <t>Postage Services</t>
  </si>
  <si>
    <t>Elected Officials</t>
  </si>
  <si>
    <t>0124-6-5290</t>
  </si>
  <si>
    <t>Audit/Consultant</t>
  </si>
  <si>
    <t>Judgments</t>
  </si>
  <si>
    <t>Hours</t>
  </si>
  <si>
    <t>Hydrant Availability</t>
  </si>
  <si>
    <t>0124-6-5305</t>
  </si>
  <si>
    <t xml:space="preserve">(2) Per Period salary is monthly </t>
  </si>
  <si>
    <t>System Replacement/Upgrade</t>
  </si>
  <si>
    <t>Bornheim</t>
  </si>
  <si>
    <t>5962</t>
  </si>
  <si>
    <t>OPEB Transfer</t>
  </si>
  <si>
    <t>Town Wide(1)</t>
  </si>
  <si>
    <t>FY15</t>
  </si>
  <si>
    <t>Injured on Duty</t>
  </si>
  <si>
    <t>Townwide Line Painting</t>
  </si>
  <si>
    <t>Mahoney, JF</t>
  </si>
  <si>
    <t>WHITE, E</t>
  </si>
  <si>
    <t>5303</t>
  </si>
  <si>
    <t>Department Head - Eileen White</t>
  </si>
  <si>
    <t>FY 15</t>
  </si>
  <si>
    <t xml:space="preserve">Contractual </t>
  </si>
  <si>
    <t>Town of Hull</t>
  </si>
  <si>
    <t>Revenue Summary</t>
  </si>
  <si>
    <t>FY 12</t>
  </si>
  <si>
    <t>FY13 - Dept Head</t>
  </si>
  <si>
    <t>FY 13</t>
  </si>
  <si>
    <t>Dollar Change</t>
  </si>
  <si>
    <t>Percent Change</t>
  </si>
  <si>
    <t>Real Estate/Property Taxes</t>
  </si>
  <si>
    <t>Base Tax Levy</t>
  </si>
  <si>
    <t>Statutory 2 1/2 Increase</t>
  </si>
  <si>
    <t>Growth in Tax Base</t>
  </si>
  <si>
    <t>Debt Exclusion-High School</t>
  </si>
  <si>
    <t>Excess Levy</t>
  </si>
  <si>
    <t>Maximum Allowable Tax Levy</t>
  </si>
  <si>
    <t>Intergovernmental Revenues</t>
  </si>
  <si>
    <t>State Revenue Sharing</t>
  </si>
  <si>
    <t>Projected Net State Aid</t>
  </si>
  <si>
    <t>Local Receipts</t>
  </si>
  <si>
    <t>Estimated Local Receipts</t>
  </si>
  <si>
    <t>Overlay Surplus</t>
  </si>
  <si>
    <t>Available Funds (Free Cash)</t>
  </si>
  <si>
    <t>Stabilization Fund</t>
  </si>
  <si>
    <t>PILOT-HRA</t>
  </si>
  <si>
    <t>Reserved for Appropriation</t>
  </si>
  <si>
    <t>Transfer from Enterprise-ROB</t>
  </si>
  <si>
    <t>Total Local Receipts</t>
  </si>
  <si>
    <t>Enterprise Funds</t>
  </si>
  <si>
    <t>Sewer Operating Budget</t>
  </si>
  <si>
    <t>Sewer Debt</t>
  </si>
  <si>
    <t>Harbormaster</t>
  </si>
  <si>
    <t>Harbor Debt</t>
  </si>
  <si>
    <t>Total Enterprise Fund Revenue</t>
  </si>
  <si>
    <t>TOTAL RECEIPTS</t>
  </si>
  <si>
    <t>Percentage Change from Prior Year</t>
  </si>
  <si>
    <t>Level Revenue</t>
  </si>
  <si>
    <t>Level Services</t>
  </si>
  <si>
    <t>Projected</t>
  </si>
  <si>
    <t>Expenditure Summary</t>
  </si>
  <si>
    <t>General Reserve</t>
  </si>
  <si>
    <t>Health Insurance</t>
  </si>
  <si>
    <t>Other Insurances</t>
  </si>
  <si>
    <t>Unemployment</t>
  </si>
  <si>
    <t>Debt &amp; Interest</t>
  </si>
  <si>
    <t>Capital Improvements-General</t>
  </si>
  <si>
    <t>Total Services Costs</t>
  </si>
  <si>
    <t>Harbormaster Operating Budget</t>
  </si>
  <si>
    <t>Harbormaster Debt</t>
  </si>
  <si>
    <t>Overlay</t>
  </si>
  <si>
    <t>Snow Removal Deficit</t>
  </si>
  <si>
    <t>Other Total:</t>
  </si>
  <si>
    <t>Intergovernmental Charges</t>
  </si>
  <si>
    <t>State County Assessments</t>
  </si>
  <si>
    <t>Charter School Assessment</t>
  </si>
  <si>
    <t>Regional Dispatch</t>
  </si>
  <si>
    <t>Intergovernmental Total</t>
  </si>
  <si>
    <t>TOTAL EXPENDITURES</t>
  </si>
  <si>
    <t>NET EXCESS/(DEFICIT)</t>
  </si>
  <si>
    <t>Services Costs</t>
  </si>
  <si>
    <t>Operating Budgets</t>
  </si>
  <si>
    <t>Estimated Receipts</t>
  </si>
  <si>
    <t>PILOT-Sewer</t>
  </si>
  <si>
    <t>Total:</t>
  </si>
  <si>
    <t>Education</t>
  </si>
  <si>
    <t>Operational Budget</t>
  </si>
  <si>
    <t>Unemployment Compensation</t>
  </si>
  <si>
    <t>Totals</t>
  </si>
  <si>
    <t>Period (2)</t>
  </si>
  <si>
    <t>n.a</t>
  </si>
  <si>
    <t>n.a.</t>
  </si>
  <si>
    <t>Sick Leave Buyback</t>
  </si>
  <si>
    <t>Buyback</t>
  </si>
  <si>
    <t>THOMPKINS, D.</t>
  </si>
  <si>
    <t>MALVESTI, M.</t>
  </si>
  <si>
    <t>Buybacks</t>
  </si>
  <si>
    <t>GLAVIN</t>
  </si>
  <si>
    <t>MARSHALSEA</t>
  </si>
  <si>
    <t>MERCER</t>
  </si>
  <si>
    <t>MINELLI</t>
  </si>
  <si>
    <t>SMITH</t>
  </si>
  <si>
    <t xml:space="preserve">Summary - </t>
  </si>
  <si>
    <t>Maint.</t>
  </si>
  <si>
    <t>Holiday</t>
  </si>
  <si>
    <t>Fringe Benefits-Educational</t>
  </si>
  <si>
    <t>Fringe Benefits-Dry Cleaning</t>
  </si>
  <si>
    <t>Fringe Benefits-Stipends</t>
  </si>
  <si>
    <t>Differentials-Longevity</t>
  </si>
  <si>
    <t>Differentials-Holiday Pay</t>
  </si>
  <si>
    <t>Differentials-Night</t>
  </si>
  <si>
    <t>Differentials-Educational</t>
  </si>
  <si>
    <t>Fringe Benefits-Uniforms</t>
  </si>
  <si>
    <t>Other Personal Services-Stipends</t>
  </si>
  <si>
    <t>Other Personal Services-Training</t>
  </si>
  <si>
    <t>Comeau, G.</t>
  </si>
  <si>
    <t>Reynolds, R.</t>
  </si>
  <si>
    <t>White, M.E.</t>
  </si>
  <si>
    <t>Department: 295 Harbor</t>
  </si>
  <si>
    <t>Other Personal Services-Special Service</t>
  </si>
  <si>
    <t>Technology</t>
  </si>
  <si>
    <t>Contractual - Testing</t>
  </si>
  <si>
    <t>RUSSO, C.</t>
  </si>
  <si>
    <t>-</t>
  </si>
  <si>
    <t>Differentials-Holiday Overtime</t>
  </si>
  <si>
    <t>Finance</t>
  </si>
  <si>
    <t>Sewer Debt and Interest</t>
  </si>
  <si>
    <t>Total Sewer  Expenditures</t>
  </si>
  <si>
    <t>Harbor Debt and Interest</t>
  </si>
  <si>
    <t>Total Harbor  Expenditures</t>
  </si>
  <si>
    <t>Sewer Revenue</t>
  </si>
  <si>
    <t>Harbormaster Revenue</t>
  </si>
  <si>
    <t>Total Enterprise Expenditures</t>
  </si>
  <si>
    <t>5142</t>
  </si>
  <si>
    <t>5174</t>
  </si>
  <si>
    <t>5146</t>
  </si>
  <si>
    <t>5172</t>
  </si>
  <si>
    <t>5132</t>
  </si>
  <si>
    <t>5134</t>
  </si>
  <si>
    <t>Contractual Testing</t>
  </si>
  <si>
    <t>Uniforms &amp; Tools</t>
  </si>
  <si>
    <t>Gasoline &amp; Diesel</t>
  </si>
  <si>
    <t>Ahlstedt, Erik</t>
  </si>
  <si>
    <t>Uniform Allowance</t>
  </si>
  <si>
    <t>On Call Pay</t>
  </si>
  <si>
    <t>F.F.</t>
  </si>
  <si>
    <t>Differentials-Holiday</t>
  </si>
  <si>
    <t>Town Commemorations</t>
  </si>
  <si>
    <t>Equipment</t>
  </si>
  <si>
    <t>Motor Fuels</t>
  </si>
  <si>
    <t>Prof &amp; Tech - MIS/IT</t>
  </si>
  <si>
    <t>Emergency Management</t>
  </si>
  <si>
    <t>Department Head - Lori West</t>
  </si>
  <si>
    <t>Department Head - Chris Krahforst</t>
  </si>
  <si>
    <t>Department Head - Chris Dilorio</t>
  </si>
  <si>
    <t>Other Expenses</t>
  </si>
  <si>
    <t>Public Works Supplies</t>
  </si>
  <si>
    <t>5482</t>
  </si>
  <si>
    <t>Books</t>
  </si>
  <si>
    <t>Stipends</t>
  </si>
  <si>
    <t>Brown, Gary</t>
  </si>
  <si>
    <t>Contractual Allowance</t>
  </si>
  <si>
    <t>FRAZIER, W.</t>
  </si>
  <si>
    <t>BREEN, KEVIN</t>
  </si>
  <si>
    <t>SAPIENZA</t>
  </si>
  <si>
    <t>CANNON</t>
  </si>
  <si>
    <t>WEST, L.</t>
  </si>
  <si>
    <t>SEITZ,  P</t>
  </si>
  <si>
    <t>SAIDE, J</t>
  </si>
  <si>
    <t>135 Director of Finance/Town Accountant</t>
  </si>
  <si>
    <t>Food &amp; Services</t>
  </si>
  <si>
    <t>Other Supplies Watershed</t>
  </si>
  <si>
    <t>Professional &amp; Technical Landfill</t>
  </si>
  <si>
    <t>421 Department of Public Works</t>
  </si>
  <si>
    <t>Clerk *</t>
  </si>
  <si>
    <t>Department: 210 Police Department</t>
  </si>
  <si>
    <t>Department: 220 Fire Department</t>
  </si>
  <si>
    <t>Department: 291 Emergency Management</t>
  </si>
  <si>
    <t>Department: 292 Animal Control</t>
  </si>
  <si>
    <t>Department: 297 Shellfish Warden</t>
  </si>
  <si>
    <t>Department: 421 Department of Public Works</t>
  </si>
  <si>
    <t>Department: 423 Snow &amp; Ice</t>
  </si>
  <si>
    <t>Department: 511 Board of Health</t>
  </si>
  <si>
    <t>Department: 541 Council on Aging</t>
  </si>
  <si>
    <t>Department: 543 Veterans Services</t>
  </si>
  <si>
    <t>Department: 610 Library</t>
  </si>
  <si>
    <t>Department: 650 Park &amp; Recreation</t>
  </si>
  <si>
    <t>Department: Debt, Insurance, Townwide &amp; Pension</t>
  </si>
  <si>
    <t>Department: Reserve Funds</t>
  </si>
  <si>
    <t>Department: Capital</t>
  </si>
  <si>
    <t>Department: 496 Park Maintenance</t>
  </si>
  <si>
    <t>Sewer Available Funds</t>
  </si>
  <si>
    <t>Sewer Retained Earnings</t>
  </si>
  <si>
    <t>Sewer OPEB</t>
  </si>
  <si>
    <t>Harbor OPEB</t>
  </si>
  <si>
    <t>FY19</t>
  </si>
  <si>
    <t>Animal Inspector</t>
  </si>
  <si>
    <t>Less Offsets</t>
  </si>
  <si>
    <t>(4) 2.00% Non-union personnel increase</t>
  </si>
  <si>
    <t>5192</t>
  </si>
  <si>
    <t>Holiday Pay</t>
  </si>
  <si>
    <t>5144</t>
  </si>
  <si>
    <t>Training</t>
  </si>
  <si>
    <t>FY20</t>
  </si>
  <si>
    <t>Early Voting</t>
  </si>
  <si>
    <t>Town Meetings</t>
  </si>
  <si>
    <t>Election Prep</t>
  </si>
  <si>
    <t>Temporary Pers.</t>
  </si>
  <si>
    <t>WILLIAMSON</t>
  </si>
  <si>
    <t>PARI</t>
  </si>
  <si>
    <t>Harbor Available Funds</t>
  </si>
  <si>
    <t>Harbor Retained Earnings</t>
  </si>
  <si>
    <t>Medical Billing</t>
  </si>
  <si>
    <t>ALLEN, N</t>
  </si>
  <si>
    <t>Department 0175 - Community Development &amp; Planning</t>
  </si>
  <si>
    <t>Comm Dev &amp; Planning</t>
  </si>
  <si>
    <t>Snow &amp; Ice Deficit</t>
  </si>
  <si>
    <t>Medicare Tax</t>
  </si>
  <si>
    <t>Buckley, Michael</t>
  </si>
  <si>
    <t>Lampke</t>
  </si>
  <si>
    <t>Building Repairs</t>
  </si>
  <si>
    <t>Contracted Services</t>
  </si>
  <si>
    <t>Cummings</t>
  </si>
  <si>
    <t>Debt Exclusion-Streets</t>
  </si>
  <si>
    <t>MacCune</t>
  </si>
  <si>
    <t>SULLIVAN, E</t>
  </si>
  <si>
    <t>LICHTENBERGER, J</t>
  </si>
  <si>
    <t>KELLY, B</t>
  </si>
  <si>
    <t>BOARD MEMBER</t>
  </si>
  <si>
    <t>BOARD CHAIR</t>
  </si>
  <si>
    <t>OLSON</t>
  </si>
  <si>
    <t>Date</t>
  </si>
  <si>
    <t>Hire</t>
  </si>
  <si>
    <t>Department Head - Michael Buckley</t>
  </si>
  <si>
    <t>Department: 124 General Government Support</t>
  </si>
  <si>
    <t>Department: 131 Advisory Board</t>
  </si>
  <si>
    <t>Department: 135 Director of Finance/Town Accountant</t>
  </si>
  <si>
    <t>Department: 141 Board of Assessors</t>
  </si>
  <si>
    <t>Department: 145 Treasurer/Collector</t>
  </si>
  <si>
    <t>Department: 151 Town Counsel</t>
  </si>
  <si>
    <t>Department: 161 Town Clerk</t>
  </si>
  <si>
    <t>Department: 175 Community Development &amp; Planning</t>
  </si>
  <si>
    <t>Department: 192 Town Buildings</t>
  </si>
  <si>
    <t>Department Head - John Dunn</t>
  </si>
  <si>
    <t>Department Head - Chris Russo</t>
  </si>
  <si>
    <t>220 Fire</t>
  </si>
  <si>
    <t>511 Board of Health</t>
  </si>
  <si>
    <t>Department Head - Paul Sordillo</t>
  </si>
  <si>
    <t>Department: 443 Sewer</t>
  </si>
  <si>
    <t>Department Head - John Struzziery</t>
  </si>
  <si>
    <t>443 Sewer</t>
  </si>
  <si>
    <t>Street Light Maintenance</t>
  </si>
  <si>
    <t>LICHTENBERGER</t>
  </si>
  <si>
    <t>Buckley</t>
  </si>
  <si>
    <t xml:space="preserve">Elections </t>
  </si>
  <si>
    <t>Self Insurance</t>
  </si>
  <si>
    <t>Self Insurances</t>
  </si>
  <si>
    <t>West, Lori</t>
  </si>
  <si>
    <t>MACCUNE, K.</t>
  </si>
  <si>
    <t xml:space="preserve">Advisory Board </t>
  </si>
  <si>
    <t>School Department</t>
  </si>
  <si>
    <t>Veterans Services</t>
  </si>
  <si>
    <t>Principal- Long Term</t>
  </si>
  <si>
    <t>Interest- Long Term</t>
  </si>
  <si>
    <t>Cable Available Funds</t>
  </si>
  <si>
    <t>Cable Revenue</t>
  </si>
  <si>
    <t>Cable Retained Earnings</t>
  </si>
  <si>
    <t>Total Cable  Expenditures</t>
  </si>
  <si>
    <t>Cable OPEB</t>
  </si>
  <si>
    <t>Cable Debt and Interest</t>
  </si>
  <si>
    <t>Cable Operating Budget</t>
  </si>
  <si>
    <t>Capital Improvements</t>
  </si>
  <si>
    <t>Total Sewer Revenues</t>
  </si>
  <si>
    <t>Total Cable Revenues</t>
  </si>
  <si>
    <t>Total Harbor Revenues</t>
  </si>
  <si>
    <t>NET EXCESS(DEFICIT)</t>
  </si>
  <si>
    <t>Heating Fuel</t>
  </si>
  <si>
    <t>Electricity</t>
  </si>
  <si>
    <t>Water &amp; Sewer</t>
  </si>
  <si>
    <t>Workers Compensation</t>
  </si>
  <si>
    <t>(1) Annual = Pay period * 26.125 (52 weeks, 1 day)</t>
  </si>
  <si>
    <t>Pizzella</t>
  </si>
  <si>
    <t>(5) Contingency included for union personnel</t>
  </si>
  <si>
    <t>Department Head - Bart Kelly</t>
  </si>
  <si>
    <t>Department: 241 Building Department</t>
  </si>
  <si>
    <t>241 Building Department</t>
  </si>
  <si>
    <t>BOYLEN, G.</t>
  </si>
  <si>
    <t>GIBBONS</t>
  </si>
  <si>
    <t>AUFIERO</t>
  </si>
  <si>
    <t>ANDREWS</t>
  </si>
  <si>
    <t>ROZZI</t>
  </si>
  <si>
    <t>DUNN D</t>
  </si>
  <si>
    <t>O'NEILL</t>
  </si>
  <si>
    <t>Fringe Benefits-Stipends First Responder</t>
  </si>
  <si>
    <t>0155 - Information Technology</t>
  </si>
  <si>
    <t>BENNET, M.</t>
  </si>
  <si>
    <t xml:space="preserve">Principal </t>
  </si>
  <si>
    <t xml:space="preserve">Interest </t>
  </si>
  <si>
    <t xml:space="preserve">Float &amp; Pier Repair </t>
  </si>
  <si>
    <t xml:space="preserve">Replacement Equipment </t>
  </si>
  <si>
    <t xml:space="preserve">Emergency Repair </t>
  </si>
  <si>
    <t xml:space="preserve">High School Field Revolving </t>
  </si>
  <si>
    <t>FY22 Salary</t>
  </si>
  <si>
    <t>(2) Per Period salary includes known FY22 increases</t>
  </si>
  <si>
    <t>Travel &amp; Meetings</t>
  </si>
  <si>
    <t>Department Head - Lisa Thornton</t>
  </si>
  <si>
    <t>Recreation Supplies</t>
  </si>
  <si>
    <t>Cleaning &amp;  Uniform Allowance</t>
  </si>
  <si>
    <t>629-0121 Cable Studio I.T.</t>
  </si>
  <si>
    <t>Department: 629 Cable Studio I.T.</t>
  </si>
  <si>
    <t>Thornton, Lisa</t>
  </si>
  <si>
    <t>Sordillo, Paul</t>
  </si>
  <si>
    <t>Taverna, Joan</t>
  </si>
  <si>
    <t>Barone, Ellen</t>
  </si>
  <si>
    <t xml:space="preserve">$30,000 revolving funding </t>
  </si>
  <si>
    <t>Department Head - Chris Gardner</t>
  </si>
  <si>
    <t>Gardner, Chris</t>
  </si>
  <si>
    <t>AGOSTINO</t>
  </si>
  <si>
    <t>CAMBRA</t>
  </si>
  <si>
    <t>DELVECHHIO</t>
  </si>
  <si>
    <t>HASKINS</t>
  </si>
  <si>
    <t>MARCINkEWICH</t>
  </si>
  <si>
    <t>MAININI</t>
  </si>
  <si>
    <t>DENNETT</t>
  </si>
  <si>
    <t>AHLQUIST</t>
  </si>
  <si>
    <t>Barbuto, A.</t>
  </si>
  <si>
    <t>TONER</t>
  </si>
  <si>
    <t>ZINITI</t>
  </si>
  <si>
    <t>AHEARN</t>
  </si>
  <si>
    <t>Pending</t>
  </si>
  <si>
    <t>SCHOOL OFFSET</t>
  </si>
  <si>
    <t>Advertising</t>
  </si>
  <si>
    <t>Mileage Reimbursement</t>
  </si>
  <si>
    <t>Vehicle Maintenance</t>
  </si>
  <si>
    <t>Select Board</t>
  </si>
  <si>
    <t>Department: 122 Select Board</t>
  </si>
  <si>
    <t>Department Head - Select Board</t>
  </si>
  <si>
    <t>122 Select Board</t>
  </si>
  <si>
    <t>Straits Pond Mitigation</t>
  </si>
  <si>
    <t>Property Services</t>
  </si>
  <si>
    <t>Meetings &amp; Dues</t>
  </si>
  <si>
    <t xml:space="preserve">Department Head - </t>
  </si>
  <si>
    <t>TAVERNA</t>
  </si>
  <si>
    <t>Duhaime, Connor</t>
  </si>
  <si>
    <t>New Hire</t>
  </si>
  <si>
    <t>Starosky, J.</t>
  </si>
  <si>
    <t>Patuto, P.</t>
  </si>
  <si>
    <t>Department Head - Joan Taverna</t>
  </si>
  <si>
    <t>Grieco</t>
  </si>
  <si>
    <t>DiVito</t>
  </si>
  <si>
    <t>Morris</t>
  </si>
  <si>
    <t>Sinton-Coffman</t>
  </si>
  <si>
    <t>Struzziery</t>
  </si>
  <si>
    <t>Joaquim</t>
  </si>
  <si>
    <t>McDonough</t>
  </si>
  <si>
    <t>Admin Stipend</t>
  </si>
  <si>
    <t>Reynolds Stipend</t>
  </si>
  <si>
    <t>CAULFIELD</t>
  </si>
  <si>
    <t>NEWALL</t>
  </si>
  <si>
    <t>MCNAMARA</t>
  </si>
  <si>
    <t>WILLIAMS</t>
  </si>
  <si>
    <t>Kiley, Renee</t>
  </si>
  <si>
    <t>DiIorio, Chris</t>
  </si>
  <si>
    <t>Krahforst, Chris</t>
  </si>
  <si>
    <t>Sampson, M.</t>
  </si>
  <si>
    <t>Uniforms</t>
  </si>
  <si>
    <t>OPEN</t>
  </si>
  <si>
    <t>Vacation Buyback</t>
  </si>
  <si>
    <t>Vacation Leave Buyback</t>
  </si>
  <si>
    <t>SAMPSON</t>
  </si>
  <si>
    <t>Hybrid</t>
  </si>
  <si>
    <t>FY24</t>
  </si>
  <si>
    <t>FY25</t>
  </si>
  <si>
    <t>FY22 Actual</t>
  </si>
  <si>
    <t>FY 24</t>
  </si>
  <si>
    <t>FY24 Salary</t>
  </si>
  <si>
    <t>(2) Per Period salary includes known FY24 increases</t>
  </si>
  <si>
    <t>(1) Annual = Pay period * 26.00 (52 weeks)</t>
  </si>
  <si>
    <t>Adams, Brenna</t>
  </si>
  <si>
    <t>Koncious</t>
  </si>
  <si>
    <t>MacDonald, Ian</t>
  </si>
  <si>
    <t>Goodwin, M.</t>
  </si>
  <si>
    <t>Gerold, Rachel</t>
  </si>
  <si>
    <t>SESTITO</t>
  </si>
  <si>
    <t>DASILVA</t>
  </si>
  <si>
    <t>Firefighter</t>
  </si>
  <si>
    <t>ZBA Stipend</t>
  </si>
  <si>
    <t>Derelict Properties &amp; Pest Control</t>
  </si>
  <si>
    <t xml:space="preserve">     $5,000 from Wetlands Fund</t>
  </si>
  <si>
    <t xml:space="preserve">     $28,000 Revolving account supplement </t>
  </si>
  <si>
    <t>(1) Annual = Pay period * 26 (52 weeks)</t>
  </si>
  <si>
    <t>(4) ACO Function 24 Hours</t>
  </si>
  <si>
    <t>Quinn, M.</t>
  </si>
  <si>
    <t>Kaplan, A.</t>
  </si>
  <si>
    <t>Asst. Town Manager</t>
  </si>
  <si>
    <t>War Memorial Repair &amp; Updates</t>
  </si>
  <si>
    <t>Animal Inspector-Sampson</t>
  </si>
  <si>
    <t>$34,422 Salary in Police Budget</t>
  </si>
  <si>
    <t>Gasoline</t>
  </si>
  <si>
    <t>Certification</t>
  </si>
  <si>
    <t>Town Clerk Records Retention</t>
  </si>
  <si>
    <t>Town Owned Building Assessment</t>
  </si>
  <si>
    <t>Capital Reserve Fund</t>
  </si>
  <si>
    <t>Climate Adaptation &amp; Conservation</t>
  </si>
  <si>
    <t>Department: 171 Climate Adaptation &amp; Conservation</t>
  </si>
  <si>
    <t>171 Climate Adaptation &amp; Conservation</t>
  </si>
  <si>
    <t>Recreational Activities</t>
  </si>
  <si>
    <t>Fiscal Year 2025 Projected Revenue and Expenditures</t>
  </si>
  <si>
    <t>Fiscal Year 2025 Budget Worksheet</t>
  </si>
  <si>
    <t>FY 25</t>
  </si>
  <si>
    <t>FY23 Actual</t>
  </si>
  <si>
    <t>FY24 Budget</t>
  </si>
  <si>
    <t>FY25 Request</t>
  </si>
  <si>
    <t>FY25 Salary</t>
  </si>
  <si>
    <t>Constable, Jen</t>
  </si>
  <si>
    <t>(2) Per Period salary includes known FY25 increases</t>
  </si>
  <si>
    <t>Gardiner, Patricia</t>
  </si>
  <si>
    <t>(1) Annual = Pay period * 26.125 (52.2 weeks)</t>
  </si>
  <si>
    <t>KANE, E.</t>
  </si>
  <si>
    <t>RYDER, C.</t>
  </si>
  <si>
    <t>SELIG, A.</t>
  </si>
  <si>
    <t>WHOLEY, D.</t>
  </si>
  <si>
    <t>BURNS, P.</t>
  </si>
  <si>
    <t>MAHONEY, L.</t>
  </si>
  <si>
    <t>Molinari</t>
  </si>
  <si>
    <t>Department Head - Jen Constable</t>
  </si>
  <si>
    <t>Department Head - Judi Saide</t>
  </si>
  <si>
    <t>Department Head - Brian DeFelice</t>
  </si>
  <si>
    <t>Department Head - Peter Seitz</t>
  </si>
  <si>
    <t>Professional &amp; Technical Audubon</t>
  </si>
  <si>
    <t>Overtime - Training</t>
  </si>
  <si>
    <t>Overtime - Holiday</t>
  </si>
  <si>
    <t>DEFELICE, B.</t>
  </si>
  <si>
    <t>0124-6-5311</t>
  </si>
  <si>
    <t xml:space="preserve">Interest-ShortTerm </t>
  </si>
  <si>
    <t>Clerk</t>
  </si>
  <si>
    <t>OPEB Contribution</t>
  </si>
  <si>
    <t>(1) Annual = Pay period * 26.0 (52 weeks)</t>
  </si>
  <si>
    <t>Cemetery Records, Administrator, Archive Project</t>
  </si>
  <si>
    <t>BIO, L.</t>
  </si>
  <si>
    <t xml:space="preserve">     $1,000 from Wetlands Fund</t>
  </si>
  <si>
    <t>REGISTRARS</t>
  </si>
  <si>
    <t>High Speed Voting Machine(s)</t>
  </si>
  <si>
    <t>O'Sullivan, Matt</t>
  </si>
  <si>
    <t>Rose, J.</t>
  </si>
  <si>
    <t>Corcoran, M.</t>
  </si>
  <si>
    <t>NEW HIRE</t>
  </si>
  <si>
    <t>Vacation</t>
  </si>
  <si>
    <t>Sick</t>
  </si>
  <si>
    <t>Glavin</t>
  </si>
  <si>
    <t>Reilly</t>
  </si>
  <si>
    <t>Dunn</t>
  </si>
  <si>
    <t>Saunders</t>
  </si>
  <si>
    <t>Minelli</t>
  </si>
  <si>
    <t>Galluzzo</t>
  </si>
  <si>
    <t>Agostino</t>
  </si>
  <si>
    <t>Cambra</t>
  </si>
  <si>
    <t>Chagnon</t>
  </si>
  <si>
    <t>Fahey</t>
  </si>
  <si>
    <t>Flaherty</t>
  </si>
  <si>
    <t>Haskins</t>
  </si>
  <si>
    <t>Kelly</t>
  </si>
  <si>
    <t>Mahoney</t>
  </si>
  <si>
    <t>Mahoney Jr.</t>
  </si>
  <si>
    <t>Marshalsea</t>
  </si>
  <si>
    <t>Mercer</t>
  </si>
  <si>
    <t>Olson</t>
  </si>
  <si>
    <t>O'Neill</t>
  </si>
  <si>
    <t>Toner</t>
  </si>
  <si>
    <t>Smith</t>
  </si>
  <si>
    <t>Ziniti</t>
  </si>
  <si>
    <t>School Offset</t>
  </si>
  <si>
    <t>Sampson</t>
  </si>
  <si>
    <t>Gallagher</t>
  </si>
  <si>
    <t>Sullivan</t>
  </si>
  <si>
    <t>Maint</t>
  </si>
  <si>
    <t>Utility</t>
  </si>
  <si>
    <t>Paula</t>
  </si>
  <si>
    <t>Replacement Hydrants</t>
  </si>
  <si>
    <t>Electricity - Memorial</t>
  </si>
  <si>
    <t>Heating Fuel - Memorial</t>
  </si>
  <si>
    <t>Water &amp; Sewer - Memorial</t>
  </si>
  <si>
    <t>Repairs &amp; Maint</t>
  </si>
  <si>
    <t>Repairs &amp; Maint - Memorial</t>
  </si>
  <si>
    <t>Bldg &amp; Equip Repairs</t>
  </si>
  <si>
    <t>Custodial &amp; Housekeeping - Mem</t>
  </si>
  <si>
    <t>Collective Bargaining Reserve</t>
  </si>
  <si>
    <t>General Reserves</t>
  </si>
  <si>
    <t>LeBlanc, Michelle</t>
  </si>
  <si>
    <t>Town Wide Seawall Program</t>
  </si>
  <si>
    <t>Contracted Services-Binding</t>
  </si>
  <si>
    <t>Command Vehicles (2)</t>
  </si>
  <si>
    <t>Ambulance Billing</t>
  </si>
  <si>
    <t>Permanent Personnel - Memorial</t>
  </si>
  <si>
    <t>GEROLD</t>
  </si>
  <si>
    <t>Indirect Expenses</t>
  </si>
  <si>
    <t>Town Meeting Expenses</t>
  </si>
  <si>
    <t>Revolving Funds</t>
  </si>
  <si>
    <t>Wetlands Bldg BOH</t>
  </si>
  <si>
    <t xml:space="preserve">$0 revolving funding </t>
  </si>
  <si>
    <t xml:space="preserve">     $0 from Wetlands Fund</t>
  </si>
  <si>
    <t xml:space="preserve">     $0 Revolving account supplement </t>
  </si>
  <si>
    <t>Boiler Replacement</t>
  </si>
  <si>
    <t>Cemetery Software</t>
  </si>
  <si>
    <t>Town Hall</t>
  </si>
  <si>
    <t>Memorial</t>
  </si>
  <si>
    <t>Total</t>
  </si>
  <si>
    <t>Dues/Memberships/Conferences</t>
  </si>
  <si>
    <t>Temporary Employees</t>
  </si>
  <si>
    <t>Programming</t>
  </si>
  <si>
    <t>Registrars</t>
  </si>
  <si>
    <t>Medical Supplies</t>
  </si>
  <si>
    <t>Education Assessments</t>
  </si>
  <si>
    <t>Town &amp; County Assessments</t>
  </si>
  <si>
    <t>New Hire-Outreach</t>
  </si>
  <si>
    <t>Available Funds (Free Cash, ARPA)</t>
  </si>
  <si>
    <t>Director of Finance</t>
  </si>
  <si>
    <t>Public Safety Building Study</t>
  </si>
  <si>
    <t>Separation Pay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</si>
</sst>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m/dd/yy"/>
    <numFmt numFmtId="166" formatCode="m/d/yyyy\ h:mm\ AM/PM"/>
    <numFmt numFmtId="167" formatCode="m/d/yy\ h:mm\ AM/PM"/>
    <numFmt numFmtId="168" formatCode="_(* #,##0_);_(* \(#,##0\);_(* &quot;-&quot;??_);_(@_)"/>
    <numFmt numFmtId="169" formatCode="_(&quot;$&quot;* #,##0_);_(&quot;$&quot;* \(#,##0\);_(&quot;$&quot;* &quot;-&quot;??_);_(@_)"/>
    <numFmt numFmtId="170" formatCode="mm/dd/yy;@"/>
    <numFmt numFmtId="171" formatCode="&quot;$&quot;#,##0.00"/>
    <numFmt numFmtId="172" formatCode="#,##0.0000"/>
    <numFmt numFmtId="173" formatCode="&quot;$&quot;#,##0"/>
    <numFmt numFmtId="174" formatCode="#,##0.00000_);[Red]\(#,##0.00000\)"/>
    <numFmt numFmtId="175" formatCode="#,##0.0000_);[Red]\(#,##0.0000\)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Arial"/>
      <family val="2"/>
    </font>
    <font>
      <strike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5" fillId="0" borderId="0"/>
    <xf numFmtId="0" fontId="3" fillId="0" borderId="0"/>
  </cellStyleXfs>
  <cellXfs count="482">
    <xf numFmtId="0" fontId="0" fillId="0" borderId="0" xfId="0"/>
    <xf numFmtId="0" fontId="8" fillId="2" borderId="6" xfId="0" applyFont="1" applyFill="1" applyBorder="1" applyAlignment="1">
      <alignment horizontal="centerContinuous"/>
    </xf>
    <xf numFmtId="0" fontId="9" fillId="0" borderId="6" xfId="0" applyFont="1" applyBorder="1"/>
    <xf numFmtId="0" fontId="10" fillId="0" borderId="0" xfId="0" applyFont="1" applyBorder="1" applyAlignment="1">
      <alignment horizontal="centerContinuous"/>
    </xf>
    <xf numFmtId="38" fontId="10" fillId="0" borderId="0" xfId="6" applyNumberFormat="1" applyFont="1" applyBorder="1"/>
    <xf numFmtId="38" fontId="10" fillId="0" borderId="0" xfId="0" applyNumberFormat="1" applyFont="1" applyBorder="1"/>
    <xf numFmtId="0" fontId="9" fillId="0" borderId="0" xfId="0" applyFont="1" applyBorder="1"/>
    <xf numFmtId="18" fontId="10" fillId="0" borderId="0" xfId="7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0" fillId="0" borderId="0" xfId="6" applyNumberFormat="1" applyFont="1" applyBorder="1" applyAlignment="1">
      <alignment horizontal="center"/>
    </xf>
    <xf numFmtId="38" fontId="10" fillId="0" borderId="0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10" fillId="0" borderId="1" xfId="6" applyNumberFormat="1" applyFont="1" applyBorder="1" applyAlignment="1">
      <alignment horizontal="center"/>
    </xf>
    <xf numFmtId="38" fontId="10" fillId="0" borderId="1" xfId="1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38" fontId="12" fillId="0" borderId="0" xfId="1" applyNumberFormat="1" applyFont="1" applyBorder="1"/>
    <xf numFmtId="3" fontId="12" fillId="0" borderId="0" xfId="2" applyNumberFormat="1" applyFont="1" applyFill="1" applyBorder="1"/>
    <xf numFmtId="3" fontId="12" fillId="0" borderId="0" xfId="0" applyNumberFormat="1" applyFont="1" applyFill="1" applyBorder="1"/>
    <xf numFmtId="3" fontId="9" fillId="0" borderId="0" xfId="2" applyNumberFormat="1" applyFont="1" applyFill="1" applyBorder="1"/>
    <xf numFmtId="3" fontId="9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Border="1"/>
    <xf numFmtId="3" fontId="10" fillId="0" borderId="0" xfId="0" applyNumberFormat="1" applyFont="1" applyBorder="1"/>
    <xf numFmtId="0" fontId="9" fillId="4" borderId="0" xfId="0" applyFont="1" applyFill="1"/>
    <xf numFmtId="4" fontId="9" fillId="0" borderId="0" xfId="0" applyNumberFormat="1" applyFont="1" applyBorder="1"/>
    <xf numFmtId="38" fontId="9" fillId="0" borderId="0" xfId="0" applyNumberFormat="1" applyFont="1" applyBorder="1"/>
    <xf numFmtId="0" fontId="8" fillId="0" borderId="0" xfId="0" applyFont="1"/>
    <xf numFmtId="0" fontId="9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quotePrefix="1" applyFont="1"/>
    <xf numFmtId="40" fontId="9" fillId="0" borderId="0" xfId="0" applyNumberFormat="1" applyFont="1"/>
    <xf numFmtId="10" fontId="9" fillId="0" borderId="0" xfId="0" applyNumberFormat="1" applyFont="1"/>
    <xf numFmtId="40" fontId="8" fillId="0" borderId="0" xfId="0" applyNumberFormat="1" applyFont="1"/>
    <xf numFmtId="40" fontId="8" fillId="2" borderId="6" xfId="0" applyNumberFormat="1" applyFont="1" applyFill="1" applyBorder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40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40" fontId="12" fillId="0" borderId="0" xfId="0" applyNumberFormat="1" applyFont="1"/>
    <xf numFmtId="165" fontId="9" fillId="0" borderId="0" xfId="0" applyNumberFormat="1" applyFont="1"/>
    <xf numFmtId="38" fontId="9" fillId="0" borderId="2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/>
    <xf numFmtId="14" fontId="9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/>
    <xf numFmtId="40" fontId="9" fillId="0" borderId="0" xfId="0" applyNumberFormat="1" applyFont="1" applyFill="1"/>
    <xf numFmtId="0" fontId="9" fillId="0" borderId="0" xfId="0" applyFont="1" applyAlignment="1">
      <alignment horizontal="right"/>
    </xf>
    <xf numFmtId="40" fontId="9" fillId="0" borderId="0" xfId="0" applyNumberFormat="1" applyFont="1" applyAlignment="1">
      <alignment horizontal="right"/>
    </xf>
    <xf numFmtId="38" fontId="9" fillId="0" borderId="0" xfId="0" applyNumberFormat="1" applyFont="1" applyFill="1" applyAlignment="1">
      <alignment horizontal="center"/>
    </xf>
    <xf numFmtId="38" fontId="9" fillId="0" borderId="0" xfId="0" applyNumberFormat="1" applyFont="1"/>
    <xf numFmtId="38" fontId="9" fillId="0" borderId="0" xfId="0" applyNumberFormat="1" applyFont="1" applyFill="1"/>
    <xf numFmtId="0" fontId="12" fillId="0" borderId="0" xfId="0" applyFont="1"/>
    <xf numFmtId="0" fontId="12" fillId="0" borderId="0" xfId="0" applyFont="1" applyFill="1"/>
    <xf numFmtId="3" fontId="12" fillId="0" borderId="0" xfId="0" applyNumberFormat="1" applyFont="1"/>
    <xf numFmtId="0" fontId="8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quotePrefix="1" applyFont="1" applyAlignment="1">
      <alignment horizontal="left"/>
    </xf>
    <xf numFmtId="0" fontId="12" fillId="0" borderId="0" xfId="5" applyFont="1"/>
    <xf numFmtId="0" fontId="12" fillId="0" borderId="0" xfId="4" applyFont="1"/>
    <xf numFmtId="14" fontId="12" fillId="0" borderId="0" xfId="4" applyNumberFormat="1" applyFont="1"/>
    <xf numFmtId="38" fontId="9" fillId="0" borderId="1" xfId="0" applyNumberFormat="1" applyFont="1" applyBorder="1"/>
    <xf numFmtId="38" fontId="9" fillId="0" borderId="4" xfId="0" applyNumberFormat="1" applyFont="1" applyBorder="1"/>
    <xf numFmtId="0" fontId="9" fillId="0" borderId="0" xfId="0" applyFont="1" applyFill="1" applyBorder="1" applyAlignment="1">
      <alignment horizontal="center"/>
    </xf>
    <xf numFmtId="38" fontId="12" fillId="0" borderId="0" xfId="0" applyNumberFormat="1" applyFont="1"/>
    <xf numFmtId="38" fontId="0" fillId="0" borderId="0" xfId="0" applyNumberFormat="1"/>
    <xf numFmtId="43" fontId="0" fillId="0" borderId="0" xfId="1" applyFont="1"/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38" fontId="14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38" fontId="14" fillId="0" borderId="0" xfId="0" applyNumberFormat="1" applyFont="1" applyFill="1" applyAlignment="1">
      <alignment horizontal="center"/>
    </xf>
    <xf numFmtId="14" fontId="14" fillId="0" borderId="0" xfId="0" applyNumberFormat="1" applyFont="1"/>
    <xf numFmtId="0" fontId="0" fillId="0" borderId="0" xfId="0" applyFill="1"/>
    <xf numFmtId="40" fontId="12" fillId="0" borderId="0" xfId="0" applyNumberFormat="1" applyFont="1" applyFill="1"/>
    <xf numFmtId="0" fontId="9" fillId="0" borderId="0" xfId="0" applyFont="1" applyFill="1" applyBorder="1"/>
    <xf numFmtId="38" fontId="9" fillId="0" borderId="4" xfId="0" applyNumberFormat="1" applyFont="1" applyFill="1" applyBorder="1"/>
    <xf numFmtId="40" fontId="0" fillId="0" borderId="0" xfId="0" applyNumberFormat="1"/>
    <xf numFmtId="0" fontId="19" fillId="0" borderId="0" xfId="0" applyFont="1" applyFill="1"/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38" fontId="21" fillId="0" borderId="0" xfId="0" quotePrefix="1" applyNumberFormat="1" applyFont="1" applyFill="1" applyAlignment="1">
      <alignment horizontal="center"/>
    </xf>
    <xf numFmtId="0" fontId="3" fillId="0" borderId="0" xfId="0" applyFont="1" applyFill="1"/>
    <xf numFmtId="0" fontId="21" fillId="0" borderId="0" xfId="0" applyFont="1" applyFill="1" applyBorder="1"/>
    <xf numFmtId="0" fontId="0" fillId="3" borderId="0" xfId="0" applyFill="1"/>
    <xf numFmtId="0" fontId="21" fillId="0" borderId="0" xfId="0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/>
    <xf numFmtId="38" fontId="0" fillId="0" borderId="0" xfId="0" applyNumberFormat="1" applyFill="1"/>
    <xf numFmtId="38" fontId="3" fillId="0" borderId="0" xfId="0" applyNumberFormat="1" applyFont="1" applyFill="1"/>
    <xf numFmtId="0" fontId="21" fillId="3" borderId="0" xfId="0" applyFont="1" applyFill="1"/>
    <xf numFmtId="38" fontId="21" fillId="3" borderId="0" xfId="0" applyNumberFormat="1" applyFont="1" applyFill="1"/>
    <xf numFmtId="38" fontId="21" fillId="3" borderId="0" xfId="0" applyNumberFormat="1" applyFont="1" applyFill="1" applyBorder="1"/>
    <xf numFmtId="38" fontId="21" fillId="3" borderId="8" xfId="0" applyNumberFormat="1" applyFont="1" applyFill="1" applyBorder="1"/>
    <xf numFmtId="10" fontId="21" fillId="3" borderId="8" xfId="6" applyNumberFormat="1" applyFont="1" applyFill="1" applyBorder="1"/>
    <xf numFmtId="38" fontId="21" fillId="0" borderId="0" xfId="0" applyNumberFormat="1" applyFont="1" applyFill="1"/>
    <xf numFmtId="38" fontId="21" fillId="0" borderId="0" xfId="0" applyNumberFormat="1" applyFont="1" applyFill="1" applyBorder="1"/>
    <xf numFmtId="0" fontId="21" fillId="7" borderId="5" xfId="0" applyFont="1" applyFill="1" applyBorder="1"/>
    <xf numFmtId="0" fontId="21" fillId="7" borderId="7" xfId="0" applyFont="1" applyFill="1" applyBorder="1"/>
    <xf numFmtId="38" fontId="21" fillId="7" borderId="10" xfId="0" applyNumberFormat="1" applyFont="1" applyFill="1" applyBorder="1" applyAlignment="1">
      <alignment horizontal="center"/>
    </xf>
    <xf numFmtId="0" fontId="0" fillId="7" borderId="0" xfId="0" applyFill="1"/>
    <xf numFmtId="38" fontId="21" fillId="7" borderId="0" xfId="0" applyNumberFormat="1" applyFont="1" applyFill="1" applyAlignment="1">
      <alignment horizontal="center"/>
    </xf>
    <xf numFmtId="0" fontId="21" fillId="7" borderId="10" xfId="0" applyFont="1" applyFill="1" applyBorder="1" applyAlignment="1">
      <alignment horizontal="center"/>
    </xf>
    <xf numFmtId="10" fontId="21" fillId="0" borderId="0" xfId="0" applyNumberFormat="1" applyFont="1" applyFill="1"/>
    <xf numFmtId="38" fontId="21" fillId="0" borderId="1" xfId="0" applyNumberFormat="1" applyFont="1" applyFill="1" applyBorder="1"/>
    <xf numFmtId="10" fontId="21" fillId="0" borderId="1" xfId="0" applyNumberFormat="1" applyFont="1" applyFill="1" applyBorder="1"/>
    <xf numFmtId="38" fontId="0" fillId="3" borderId="0" xfId="0" applyNumberFormat="1" applyFill="1"/>
    <xf numFmtId="10" fontId="21" fillId="3" borderId="8" xfId="0" applyNumberFormat="1" applyFont="1" applyFill="1" applyBorder="1"/>
    <xf numFmtId="10" fontId="21" fillId="0" borderId="0" xfId="6" applyNumberFormat="1" applyFont="1" applyFill="1"/>
    <xf numFmtId="10" fontId="21" fillId="0" borderId="1" xfId="6" applyNumberFormat="1" applyFont="1" applyFill="1" applyBorder="1"/>
    <xf numFmtId="38" fontId="21" fillId="7" borderId="8" xfId="0" applyNumberFormat="1" applyFont="1" applyFill="1" applyBorder="1"/>
    <xf numFmtId="38" fontId="21" fillId="7" borderId="0" xfId="0" applyNumberFormat="1" applyFont="1" applyFill="1" applyBorder="1"/>
    <xf numFmtId="0" fontId="21" fillId="0" borderId="0" xfId="0" applyFont="1" applyAlignment="1">
      <alignment horizontal="center"/>
    </xf>
    <xf numFmtId="0" fontId="21" fillId="8" borderId="0" xfId="0" applyFont="1" applyFill="1"/>
    <xf numFmtId="0" fontId="0" fillId="8" borderId="0" xfId="0" applyFill="1"/>
    <xf numFmtId="0" fontId="3" fillId="8" borderId="0" xfId="0" applyFont="1" applyFill="1"/>
    <xf numFmtId="0" fontId="0" fillId="0" borderId="0" xfId="0" applyFill="1" applyAlignment="1">
      <alignment horizontal="left" indent="3"/>
    </xf>
    <xf numFmtId="0" fontId="21" fillId="8" borderId="0" xfId="0" applyFont="1" applyFill="1" applyBorder="1"/>
    <xf numFmtId="0" fontId="0" fillId="8" borderId="0" xfId="0" applyFill="1" applyBorder="1"/>
    <xf numFmtId="0" fontId="0" fillId="0" borderId="0" xfId="0" applyFill="1" applyBorder="1" applyAlignment="1">
      <alignment horizontal="left" indent="3"/>
    </xf>
    <xf numFmtId="0" fontId="3" fillId="0" borderId="0" xfId="0" applyFont="1"/>
    <xf numFmtId="0" fontId="22" fillId="3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22" fillId="5" borderId="0" xfId="0" applyFont="1" applyFill="1"/>
    <xf numFmtId="38" fontId="22" fillId="0" borderId="0" xfId="0" applyNumberFormat="1" applyFont="1" applyFill="1"/>
    <xf numFmtId="10" fontId="22" fillId="0" borderId="0" xfId="6" applyNumberFormat="1" applyFont="1" applyFill="1"/>
    <xf numFmtId="38" fontId="22" fillId="0" borderId="0" xfId="0" applyNumberFormat="1" applyFont="1" applyFill="1" applyBorder="1"/>
    <xf numFmtId="38" fontId="22" fillId="0" borderId="1" xfId="0" applyNumberFormat="1" applyFont="1" applyFill="1" applyBorder="1"/>
    <xf numFmtId="10" fontId="22" fillId="0" borderId="1" xfId="6" applyNumberFormat="1" applyFont="1" applyFill="1" applyBorder="1"/>
    <xf numFmtId="3" fontId="22" fillId="0" borderId="0" xfId="0" applyNumberFormat="1" applyFont="1"/>
    <xf numFmtId="0" fontId="20" fillId="0" borderId="0" xfId="0" applyFont="1" applyFill="1" applyAlignment="1">
      <alignment horizontal="center"/>
    </xf>
    <xf numFmtId="0" fontId="20" fillId="5" borderId="0" xfId="0" applyFont="1" applyFill="1"/>
    <xf numFmtId="0" fontId="23" fillId="0" borderId="0" xfId="0" applyFont="1" applyFill="1"/>
    <xf numFmtId="38" fontId="23" fillId="0" borderId="0" xfId="0" applyNumberFormat="1" applyFont="1" applyFill="1"/>
    <xf numFmtId="38" fontId="23" fillId="0" borderId="0" xfId="0" applyNumberFormat="1" applyFont="1" applyFill="1" applyBorder="1"/>
    <xf numFmtId="38" fontId="23" fillId="0" borderId="1" xfId="0" applyNumberFormat="1" applyFont="1" applyFill="1" applyBorder="1"/>
    <xf numFmtId="0" fontId="20" fillId="3" borderId="0" xfId="0" applyFont="1" applyFill="1"/>
    <xf numFmtId="38" fontId="20" fillId="3" borderId="0" xfId="0" applyNumberFormat="1" applyFont="1" applyFill="1"/>
    <xf numFmtId="10" fontId="23" fillId="0" borderId="0" xfId="6" applyNumberFormat="1" applyFont="1" applyFill="1"/>
    <xf numFmtId="0" fontId="20" fillId="0" borderId="0" xfId="0" applyFont="1" applyFill="1"/>
    <xf numFmtId="38" fontId="20" fillId="3" borderId="0" xfId="0" applyNumberFormat="1" applyFont="1" applyFill="1" applyBorder="1"/>
    <xf numFmtId="38" fontId="20" fillId="3" borderId="8" xfId="0" applyNumberFormat="1" applyFont="1" applyFill="1" applyBorder="1"/>
    <xf numFmtId="10" fontId="20" fillId="3" borderId="8" xfId="6" applyNumberFormat="1" applyFont="1" applyFill="1" applyBorder="1"/>
    <xf numFmtId="14" fontId="24" fillId="0" borderId="0" xfId="0" applyNumberFormat="1" applyFont="1" applyFill="1" applyAlignment="1"/>
    <xf numFmtId="38" fontId="20" fillId="0" borderId="0" xfId="0" applyNumberFormat="1" applyFont="1" applyFill="1"/>
    <xf numFmtId="38" fontId="20" fillId="0" borderId="0" xfId="0" applyNumberFormat="1" applyFont="1" applyFill="1" applyAlignment="1">
      <alignment horizontal="center"/>
    </xf>
    <xf numFmtId="0" fontId="20" fillId="3" borderId="5" xfId="0" applyFont="1" applyFill="1" applyBorder="1"/>
    <xf numFmtId="0" fontId="20" fillId="3" borderId="7" xfId="0" applyFont="1" applyFill="1" applyBorder="1"/>
    <xf numFmtId="0" fontId="20" fillId="0" borderId="0" xfId="0" applyFont="1" applyFill="1" applyBorder="1"/>
    <xf numFmtId="38" fontId="20" fillId="3" borderId="10" xfId="0" applyNumberFormat="1" applyFont="1" applyFill="1" applyBorder="1" applyAlignment="1">
      <alignment horizontal="center"/>
    </xf>
    <xf numFmtId="38" fontId="20" fillId="3" borderId="0" xfId="0" applyNumberFormat="1" applyFont="1" applyFill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8" fontId="23" fillId="0" borderId="0" xfId="6" applyNumberFormat="1" applyFont="1" applyFill="1"/>
    <xf numFmtId="38" fontId="20" fillId="0" borderId="0" xfId="0" applyNumberFormat="1" applyFont="1" applyFill="1" applyBorder="1"/>
    <xf numFmtId="10" fontId="20" fillId="3" borderId="0" xfId="6" applyNumberFormat="1" applyFont="1" applyFill="1"/>
    <xf numFmtId="0" fontId="0" fillId="0" borderId="0" xfId="0" applyFont="1" applyFill="1" applyBorder="1"/>
    <xf numFmtId="38" fontId="0" fillId="0" borderId="0" xfId="0" applyNumberFormat="1" applyFont="1" applyFill="1"/>
    <xf numFmtId="0" fontId="0" fillId="0" borderId="0" xfId="0" applyFont="1" applyFill="1"/>
    <xf numFmtId="168" fontId="0" fillId="0" borderId="0" xfId="1" applyNumberFormat="1" applyFont="1" applyFill="1"/>
    <xf numFmtId="10" fontId="0" fillId="0" borderId="0" xfId="6" applyNumberFormat="1" applyFont="1" applyFill="1"/>
    <xf numFmtId="43" fontId="0" fillId="0" borderId="0" xfId="0" applyNumberFormat="1" applyFill="1"/>
    <xf numFmtId="0" fontId="25" fillId="0" borderId="0" xfId="0" applyFont="1" applyFill="1"/>
    <xf numFmtId="10" fontId="25" fillId="3" borderId="0" xfId="6" applyNumberFormat="1" applyFont="1" applyFill="1"/>
    <xf numFmtId="38" fontId="10" fillId="0" borderId="6" xfId="1" applyNumberFormat="1" applyFont="1" applyBorder="1"/>
    <xf numFmtId="40" fontId="8" fillId="0" borderId="0" xfId="0" applyNumberFormat="1" applyFont="1" applyAlignment="1">
      <alignment horizontal="center"/>
    </xf>
    <xf numFmtId="8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center"/>
    </xf>
    <xf numFmtId="4" fontId="9" fillId="0" borderId="0" xfId="1" applyNumberFormat="1" applyFont="1" applyAlignment="1"/>
    <xf numFmtId="4" fontId="0" fillId="0" borderId="0" xfId="0" applyNumberFormat="1"/>
    <xf numFmtId="44" fontId="9" fillId="0" borderId="0" xfId="0" applyNumberFormat="1" applyFont="1"/>
    <xf numFmtId="171" fontId="9" fillId="0" borderId="0" xfId="0" applyNumberFormat="1" applyFont="1"/>
    <xf numFmtId="170" fontId="9" fillId="0" borderId="0" xfId="0" applyNumberFormat="1" applyFont="1" applyFill="1" applyAlignment="1">
      <alignment horizontal="center"/>
    </xf>
    <xf numFmtId="170" fontId="9" fillId="4" borderId="0" xfId="0" applyNumberFormat="1" applyFont="1" applyFill="1" applyAlignment="1">
      <alignment horizontal="center"/>
    </xf>
    <xf numFmtId="171" fontId="9" fillId="0" borderId="2" xfId="0" applyNumberFormat="1" applyFont="1" applyBorder="1"/>
    <xf numFmtId="8" fontId="9" fillId="0" borderId="0" xfId="0" applyNumberFormat="1" applyFont="1" applyFill="1"/>
    <xf numFmtId="172" fontId="9" fillId="0" borderId="0" xfId="0" applyNumberFormat="1" applyFont="1"/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9" fillId="0" borderId="0" xfId="0" applyNumberFormat="1" applyFont="1"/>
    <xf numFmtId="6" fontId="8" fillId="0" borderId="0" xfId="0" applyNumberFormat="1" applyFont="1"/>
    <xf numFmtId="0" fontId="9" fillId="6" borderId="6" xfId="0" applyFont="1" applyFill="1" applyBorder="1"/>
    <xf numFmtId="4" fontId="9" fillId="0" borderId="0" xfId="0" applyNumberFormat="1" applyFont="1" applyFill="1"/>
    <xf numFmtId="173" fontId="14" fillId="0" borderId="0" xfId="0" applyNumberFormat="1" applyFont="1"/>
    <xf numFmtId="169" fontId="14" fillId="0" borderId="0" xfId="0" applyNumberFormat="1" applyFont="1"/>
    <xf numFmtId="37" fontId="14" fillId="0" borderId="0" xfId="0" applyNumberFormat="1" applyFont="1"/>
    <xf numFmtId="37" fontId="16" fillId="0" borderId="0" xfId="0" applyNumberFormat="1" applyFont="1"/>
    <xf numFmtId="4" fontId="12" fillId="0" borderId="0" xfId="0" applyNumberFormat="1" applyFont="1"/>
    <xf numFmtId="6" fontId="8" fillId="0" borderId="0" xfId="0" applyNumberFormat="1" applyFont="1" applyFill="1"/>
    <xf numFmtId="173" fontId="8" fillId="0" borderId="0" xfId="0" applyNumberFormat="1" applyFont="1"/>
    <xf numFmtId="173" fontId="9" fillId="0" borderId="0" xfId="0" applyNumberFormat="1" applyFont="1"/>
    <xf numFmtId="5" fontId="8" fillId="0" borderId="0" xfId="0" applyNumberFormat="1" applyFont="1"/>
    <xf numFmtId="6" fontId="17" fillId="0" borderId="0" xfId="0" applyNumberFormat="1" applyFont="1"/>
    <xf numFmtId="4" fontId="0" fillId="0" borderId="0" xfId="0" applyNumberFormat="1" applyFill="1"/>
    <xf numFmtId="38" fontId="27" fillId="0" borderId="0" xfId="0" applyNumberFormat="1" applyFont="1" applyBorder="1"/>
    <xf numFmtId="0" fontId="10" fillId="5" borderId="6" xfId="0" applyFont="1" applyFill="1" applyBorder="1" applyAlignment="1">
      <alignment horizontal="center"/>
    </xf>
    <xf numFmtId="3" fontId="10" fillId="5" borderId="6" xfId="0" applyNumberFormat="1" applyFont="1" applyFill="1" applyBorder="1"/>
    <xf numFmtId="38" fontId="10" fillId="5" borderId="6" xfId="1" applyNumberFormat="1" applyFont="1" applyFill="1" applyBorder="1"/>
    <xf numFmtId="0" fontId="0" fillId="0" borderId="0" xfId="0" applyAlignment="1"/>
    <xf numFmtId="10" fontId="12" fillId="0" borderId="0" xfId="6" applyNumberFormat="1" applyFont="1" applyBorder="1" applyAlignment="1"/>
    <xf numFmtId="10" fontId="10" fillId="5" borderId="6" xfId="6" applyNumberFormat="1" applyFont="1" applyFill="1" applyBorder="1" applyAlignment="1"/>
    <xf numFmtId="10" fontId="10" fillId="0" borderId="6" xfId="6" applyNumberFormat="1" applyFont="1" applyBorder="1" applyAlignment="1"/>
    <xf numFmtId="38" fontId="10" fillId="0" borderId="0" xfId="0" applyNumberFormat="1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166" fontId="10" fillId="0" borderId="0" xfId="7" applyNumberFormat="1" applyFont="1" applyBorder="1" applyAlignment="1">
      <alignment horizontal="center" vertical="top"/>
    </xf>
    <xf numFmtId="167" fontId="11" fillId="0" borderId="0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0" fillId="5" borderId="5" xfId="0" applyFont="1" applyFill="1" applyBorder="1" applyAlignment="1">
      <alignment vertical="top"/>
    </xf>
    <xf numFmtId="0" fontId="10" fillId="0" borderId="5" xfId="0" applyFont="1" applyBorder="1" applyAlignment="1">
      <alignment vertical="top"/>
    </xf>
    <xf numFmtId="0" fontId="9" fillId="0" borderId="0" xfId="0" applyFont="1" applyAlignment="1">
      <alignment vertical="top"/>
    </xf>
    <xf numFmtId="38" fontId="10" fillId="5" borderId="1" xfId="1" applyNumberFormat="1" applyFont="1" applyFill="1" applyBorder="1"/>
    <xf numFmtId="38" fontId="10" fillId="5" borderId="0" xfId="1" applyNumberFormat="1" applyFont="1" applyFill="1" applyBorder="1"/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38" fontId="25" fillId="0" borderId="0" xfId="0" applyNumberFormat="1" applyFont="1" applyFill="1"/>
    <xf numFmtId="38" fontId="25" fillId="0" borderId="0" xfId="0" applyNumberFormat="1" applyFont="1" applyFill="1" applyBorder="1"/>
    <xf numFmtId="10" fontId="25" fillId="0" borderId="0" xfId="6" applyNumberFormat="1" applyFont="1" applyFill="1"/>
    <xf numFmtId="0" fontId="25" fillId="5" borderId="0" xfId="0" applyFont="1" applyFill="1"/>
    <xf numFmtId="38" fontId="25" fillId="5" borderId="0" xfId="0" applyNumberFormat="1" applyFont="1" applyFill="1"/>
    <xf numFmtId="0" fontId="30" fillId="0" borderId="0" xfId="0" applyFont="1"/>
    <xf numFmtId="49" fontId="14" fillId="0" borderId="0" xfId="0" applyNumberFormat="1" applyFont="1"/>
    <xf numFmtId="38" fontId="23" fillId="0" borderId="9" xfId="0" applyNumberFormat="1" applyFont="1" applyFill="1" applyBorder="1"/>
    <xf numFmtId="38" fontId="9" fillId="0" borderId="1" xfId="0" applyNumberFormat="1" applyFont="1" applyFill="1" applyBorder="1"/>
    <xf numFmtId="38" fontId="9" fillId="0" borderId="0" xfId="0" applyNumberFormat="1" applyFont="1" applyFill="1" applyBorder="1"/>
    <xf numFmtId="173" fontId="17" fillId="0" borderId="0" xfId="0" applyNumberFormat="1" applyFont="1"/>
    <xf numFmtId="0" fontId="9" fillId="0" borderId="0" xfId="0" applyFont="1" applyAlignment="1"/>
    <xf numFmtId="3" fontId="8" fillId="0" borderId="0" xfId="0" applyNumberFormat="1" applyFont="1"/>
    <xf numFmtId="3" fontId="0" fillId="0" borderId="0" xfId="0" applyNumberFormat="1"/>
    <xf numFmtId="0" fontId="17" fillId="0" borderId="0" xfId="0" applyFont="1" applyAlignment="1">
      <alignment horizontal="right"/>
    </xf>
    <xf numFmtId="49" fontId="9" fillId="0" borderId="0" xfId="0" applyNumberFormat="1" applyFont="1"/>
    <xf numFmtId="0" fontId="31" fillId="0" borderId="0" xfId="0" applyFont="1"/>
    <xf numFmtId="6" fontId="9" fillId="0" borderId="0" xfId="0" applyNumberFormat="1" applyFont="1"/>
    <xf numFmtId="0" fontId="32" fillId="0" borderId="0" xfId="0" applyFont="1"/>
    <xf numFmtId="4" fontId="9" fillId="0" borderId="0" xfId="0" applyNumberFormat="1" applyFont="1" applyAlignment="1">
      <alignment horizontal="center"/>
    </xf>
    <xf numFmtId="3" fontId="23" fillId="0" borderId="0" xfId="0" applyNumberFormat="1" applyFont="1" applyFill="1"/>
    <xf numFmtId="0" fontId="12" fillId="0" borderId="0" xfId="0" applyFont="1" applyAlignment="1">
      <alignment horizontal="center"/>
    </xf>
    <xf numFmtId="10" fontId="22" fillId="0" borderId="8" xfId="6" applyNumberFormat="1" applyFont="1" applyFill="1" applyBorder="1"/>
    <xf numFmtId="38" fontId="25" fillId="3" borderId="0" xfId="0" applyNumberFormat="1" applyFont="1" applyFill="1" applyBorder="1"/>
    <xf numFmtId="38" fontId="25" fillId="3" borderId="10" xfId="0" applyNumberFormat="1" applyFont="1" applyFill="1" applyBorder="1" applyAlignment="1">
      <alignment horizontal="center"/>
    </xf>
    <xf numFmtId="38" fontId="25" fillId="0" borderId="0" xfId="0" applyNumberFormat="1" applyFont="1" applyFill="1" applyAlignment="1">
      <alignment horizontal="center"/>
    </xf>
    <xf numFmtId="38" fontId="25" fillId="3" borderId="8" xfId="0" applyNumberFormat="1" applyFont="1" applyFill="1" applyBorder="1"/>
    <xf numFmtId="39" fontId="12" fillId="0" borderId="0" xfId="0" applyNumberFormat="1" applyFont="1" applyFill="1"/>
    <xf numFmtId="39" fontId="20" fillId="3" borderId="10" xfId="0" applyNumberFormat="1" applyFont="1" applyFill="1" applyBorder="1" applyAlignment="1">
      <alignment horizontal="center"/>
    </xf>
    <xf numFmtId="39" fontId="21" fillId="0" borderId="0" xfId="0" applyNumberFormat="1" applyFont="1" applyFill="1" applyBorder="1" applyAlignment="1">
      <alignment horizontal="center"/>
    </xf>
    <xf numFmtId="39" fontId="22" fillId="0" borderId="0" xfId="0" applyNumberFormat="1" applyFont="1" applyFill="1"/>
    <xf numFmtId="39" fontId="23" fillId="0" borderId="0" xfId="0" applyNumberFormat="1" applyFont="1" applyFill="1"/>
    <xf numFmtId="39" fontId="12" fillId="0" borderId="0" xfId="0" applyNumberFormat="1" applyFont="1"/>
    <xf numFmtId="37" fontId="22" fillId="0" borderId="0" xfId="0" applyNumberFormat="1" applyFont="1" applyFill="1"/>
    <xf numFmtId="37" fontId="33" fillId="0" borderId="1" xfId="0" applyNumberFormat="1" applyFont="1" applyFill="1" applyBorder="1"/>
    <xf numFmtId="37" fontId="25" fillId="0" borderId="0" xfId="0" applyNumberFormat="1" applyFont="1" applyFill="1"/>
    <xf numFmtId="37" fontId="25" fillId="3" borderId="10" xfId="0" applyNumberFormat="1" applyFont="1" applyFill="1" applyBorder="1" applyAlignment="1">
      <alignment horizontal="center"/>
    </xf>
    <xf numFmtId="37" fontId="25" fillId="0" borderId="0" xfId="0" applyNumberFormat="1" applyFont="1" applyFill="1" applyBorder="1" applyAlignment="1">
      <alignment horizontal="center"/>
    </xf>
    <xf numFmtId="37" fontId="25" fillId="5" borderId="0" xfId="0" applyNumberFormat="1" applyFont="1" applyFill="1"/>
    <xf numFmtId="170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38" fontId="12" fillId="0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right"/>
    </xf>
    <xf numFmtId="10" fontId="22" fillId="0" borderId="0" xfId="6" applyNumberFormat="1" applyFont="1" applyFill="1" applyBorder="1"/>
    <xf numFmtId="37" fontId="22" fillId="0" borderId="0" xfId="0" applyNumberFormat="1" applyFont="1" applyFill="1" applyBorder="1"/>
    <xf numFmtId="0" fontId="22" fillId="0" borderId="1" xfId="0" applyFont="1" applyFill="1" applyBorder="1"/>
    <xf numFmtId="37" fontId="22" fillId="0" borderId="1" xfId="0" applyNumberFormat="1" applyFont="1" applyFill="1" applyBorder="1"/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9" fillId="0" borderId="0" xfId="0" applyNumberFormat="1" applyFont="1"/>
    <xf numFmtId="11" fontId="0" fillId="0" borderId="0" xfId="0" applyNumberFormat="1"/>
    <xf numFmtId="11" fontId="8" fillId="0" borderId="0" xfId="0" applyNumberFormat="1" applyFont="1"/>
    <xf numFmtId="9" fontId="9" fillId="0" borderId="0" xfId="0" applyNumberFormat="1" applyFont="1" applyAlignment="1">
      <alignment horizontal="left"/>
    </xf>
    <xf numFmtId="10" fontId="0" fillId="0" borderId="0" xfId="0" applyNumberFormat="1" applyFill="1"/>
    <xf numFmtId="3" fontId="9" fillId="0" borderId="4" xfId="0" applyNumberFormat="1" applyFont="1" applyBorder="1"/>
    <xf numFmtId="3" fontId="9" fillId="0" borderId="1" xfId="0" applyNumberFormat="1" applyFont="1" applyBorder="1"/>
    <xf numFmtId="3" fontId="14" fillId="0" borderId="0" xfId="0" applyNumberFormat="1" applyFont="1" applyBorder="1"/>
    <xf numFmtId="49" fontId="14" fillId="0" borderId="0" xfId="0" applyNumberFormat="1" applyFont="1" applyAlignment="1">
      <alignment horizontal="center"/>
    </xf>
    <xf numFmtId="3" fontId="9" fillId="0" borderId="0" xfId="3" applyNumberFormat="1" applyFont="1"/>
    <xf numFmtId="3" fontId="12" fillId="0" borderId="0" xfId="3" applyNumberFormat="1" applyFont="1"/>
    <xf numFmtId="3" fontId="12" fillId="0" borderId="1" xfId="0" applyNumberFormat="1" applyFont="1" applyBorder="1"/>
    <xf numFmtId="3" fontId="9" fillId="0" borderId="0" xfId="0" applyNumberFormat="1" applyFont="1" applyFill="1" applyBorder="1"/>
    <xf numFmtId="3" fontId="0" fillId="0" borderId="0" xfId="0" applyNumberFormat="1" applyFont="1" applyFill="1" applyBorder="1"/>
    <xf numFmtId="3" fontId="10" fillId="0" borderId="0" xfId="0" applyNumberFormat="1" applyFont="1"/>
    <xf numFmtId="38" fontId="12" fillId="0" borderId="0" xfId="1" applyNumberFormat="1" applyFont="1" applyFill="1" applyBorder="1"/>
    <xf numFmtId="0" fontId="0" fillId="0" borderId="0" xfId="0" applyFill="1" applyAlignment="1"/>
    <xf numFmtId="0" fontId="34" fillId="0" borderId="0" xfId="0" applyFont="1"/>
    <xf numFmtId="10" fontId="12" fillId="0" borderId="0" xfId="0" applyNumberFormat="1" applyFont="1" applyFill="1"/>
    <xf numFmtId="10" fontId="23" fillId="0" borderId="1" xfId="6" applyNumberFormat="1" applyFont="1" applyFill="1" applyBorder="1"/>
    <xf numFmtId="0" fontId="9" fillId="0" borderId="0" xfId="0" applyFont="1" applyFill="1" applyBorder="1" applyAlignment="1">
      <alignment vertical="top"/>
    </xf>
    <xf numFmtId="170" fontId="9" fillId="0" borderId="0" xfId="0" applyNumberFormat="1" applyFont="1"/>
    <xf numFmtId="0" fontId="36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40" fontId="34" fillId="0" borderId="0" xfId="0" applyNumberFormat="1" applyFont="1"/>
    <xf numFmtId="3" fontId="9" fillId="0" borderId="0" xfId="0" applyNumberFormat="1" applyFont="1" applyAlignment="1">
      <alignment horizontal="center"/>
    </xf>
    <xf numFmtId="174" fontId="9" fillId="0" borderId="0" xfId="0" applyNumberFormat="1" applyFont="1"/>
    <xf numFmtId="3" fontId="32" fillId="0" borderId="0" xfId="0" applyNumberFormat="1" applyFont="1" applyFill="1" applyBorder="1"/>
    <xf numFmtId="6" fontId="9" fillId="0" borderId="0" xfId="0" applyNumberFormat="1" applyFont="1" applyFill="1" applyBorder="1"/>
    <xf numFmtId="173" fontId="9" fillId="0" borderId="0" xfId="0" applyNumberFormat="1" applyFont="1" applyFill="1" applyBorder="1"/>
    <xf numFmtId="173" fontId="9" fillId="0" borderId="0" xfId="0" applyNumberFormat="1" applyFont="1" applyFill="1"/>
    <xf numFmtId="40" fontId="9" fillId="0" borderId="0" xfId="0" applyNumberFormat="1" applyFont="1" applyBorder="1"/>
    <xf numFmtId="168" fontId="9" fillId="0" borderId="0" xfId="1" applyNumberFormat="1" applyFont="1"/>
    <xf numFmtId="0" fontId="37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71" fontId="9" fillId="0" borderId="0" xfId="0" applyNumberFormat="1" applyFont="1" applyBorder="1"/>
    <xf numFmtId="40" fontId="9" fillId="0" borderId="1" xfId="0" applyNumberFormat="1" applyFont="1" applyBorder="1" applyAlignment="1">
      <alignment horizontal="center"/>
    </xf>
    <xf numFmtId="38" fontId="9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38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9" fillId="0" borderId="11" xfId="0" applyFont="1" applyBorder="1"/>
    <xf numFmtId="2" fontId="9" fillId="0" borderId="2" xfId="0" applyNumberFormat="1" applyFont="1" applyBorder="1"/>
    <xf numFmtId="0" fontId="10" fillId="0" borderId="2" xfId="0" applyFont="1" applyBorder="1"/>
    <xf numFmtId="0" fontId="9" fillId="0" borderId="3" xfId="0" applyFont="1" applyBorder="1"/>
    <xf numFmtId="4" fontId="9" fillId="0" borderId="2" xfId="0" applyNumberFormat="1" applyFont="1" applyBorder="1"/>
    <xf numFmtId="0" fontId="8" fillId="0" borderId="2" xfId="0" applyFont="1" applyBorder="1"/>
    <xf numFmtId="0" fontId="9" fillId="0" borderId="2" xfId="0" applyFont="1" applyFill="1" applyBorder="1"/>
    <xf numFmtId="0" fontId="15" fillId="0" borderId="11" xfId="0" applyFont="1" applyBorder="1"/>
    <xf numFmtId="0" fontId="15" fillId="0" borderId="2" xfId="0" applyFont="1" applyBorder="1"/>
    <xf numFmtId="0" fontId="14" fillId="0" borderId="3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40" fontId="9" fillId="0" borderId="2" xfId="0" applyNumberFormat="1" applyFont="1" applyFill="1" applyBorder="1"/>
    <xf numFmtId="40" fontId="9" fillId="0" borderId="2" xfId="0" applyNumberFormat="1" applyFont="1" applyBorder="1"/>
    <xf numFmtId="40" fontId="9" fillId="0" borderId="11" xfId="0" applyNumberFormat="1" applyFont="1" applyBorder="1"/>
    <xf numFmtId="38" fontId="9" fillId="0" borderId="2" xfId="0" applyNumberFormat="1" applyFont="1" applyFill="1" applyBorder="1" applyAlignment="1">
      <alignment horizontal="center"/>
    </xf>
    <xf numFmtId="38" fontId="12" fillId="0" borderId="2" xfId="0" applyNumberFormat="1" applyFont="1" applyFill="1" applyBorder="1" applyAlignment="1">
      <alignment horizontal="center"/>
    </xf>
    <xf numFmtId="6" fontId="8" fillId="0" borderId="0" xfId="0" applyNumberFormat="1" applyFont="1" applyAlignment="1">
      <alignment horizontal="center"/>
    </xf>
    <xf numFmtId="38" fontId="12" fillId="0" borderId="4" xfId="0" applyNumberFormat="1" applyFont="1" applyBorder="1"/>
    <xf numFmtId="38" fontId="12" fillId="0" borderId="0" xfId="0" applyNumberFormat="1" applyFont="1" applyBorder="1"/>
    <xf numFmtId="6" fontId="10" fillId="0" borderId="0" xfId="0" applyNumberFormat="1" applyFont="1"/>
    <xf numFmtId="3" fontId="12" fillId="0" borderId="4" xfId="0" applyNumberFormat="1" applyFont="1" applyBorder="1"/>
    <xf numFmtId="40" fontId="10" fillId="0" borderId="0" xfId="0" applyNumberFormat="1" applyFont="1"/>
    <xf numFmtId="38" fontId="12" fillId="0" borderId="1" xfId="0" applyNumberFormat="1" applyFont="1" applyBorder="1"/>
    <xf numFmtId="175" fontId="9" fillId="0" borderId="0" xfId="0" applyNumberFormat="1" applyFont="1"/>
    <xf numFmtId="9" fontId="12" fillId="0" borderId="0" xfId="0" applyNumberFormat="1" applyFont="1" applyAlignment="1">
      <alignment horizontal="left"/>
    </xf>
    <xf numFmtId="0" fontId="8" fillId="9" borderId="6" xfId="0" applyFont="1" applyFill="1" applyBorder="1" applyAlignment="1">
      <alignment horizontal="left"/>
    </xf>
    <xf numFmtId="0" fontId="9" fillId="9" borderId="6" xfId="0" applyFont="1" applyFill="1" applyBorder="1"/>
    <xf numFmtId="0" fontId="12" fillId="9" borderId="6" xfId="0" applyFont="1" applyFill="1" applyBorder="1"/>
    <xf numFmtId="0" fontId="26" fillId="9" borderId="6" xfId="0" applyFont="1" applyFill="1" applyBorder="1"/>
    <xf numFmtId="0" fontId="10" fillId="9" borderId="0" xfId="0" applyFont="1" applyFill="1" applyAlignment="1">
      <alignment horizontal="left"/>
    </xf>
    <xf numFmtId="0" fontId="9" fillId="9" borderId="0" xfId="0" applyFont="1" applyFill="1"/>
    <xf numFmtId="0" fontId="9" fillId="9" borderId="11" xfId="0" applyFont="1" applyFill="1" applyBorder="1"/>
    <xf numFmtId="40" fontId="9" fillId="9" borderId="6" xfId="0" applyNumberFormat="1" applyFont="1" applyFill="1" applyBorder="1"/>
    <xf numFmtId="0" fontId="23" fillId="0" borderId="0" xfId="0" applyFont="1" applyFill="1" applyAlignment="1">
      <alignment horizontal="center"/>
    </xf>
    <xf numFmtId="0" fontId="25" fillId="0" borderId="0" xfId="0" applyFont="1" applyFill="1" applyBorder="1"/>
    <xf numFmtId="40" fontId="9" fillId="0" borderId="0" xfId="0" applyNumberFormat="1" applyFont="1" applyFill="1" applyBorder="1"/>
    <xf numFmtId="38" fontId="0" fillId="0" borderId="0" xfId="0" applyNumberForma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8" fillId="9" borderId="6" xfId="0" applyFont="1" applyFill="1" applyBorder="1" applyAlignment="1">
      <alignment horizontal="centerContinuous"/>
    </xf>
    <xf numFmtId="0" fontId="10" fillId="9" borderId="1" xfId="0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horizontal="center"/>
    </xf>
    <xf numFmtId="3" fontId="9" fillId="0" borderId="0" xfId="0" applyNumberFormat="1" applyFont="1" applyFill="1"/>
    <xf numFmtId="3" fontId="9" fillId="0" borderId="4" xfId="0" applyNumberFormat="1" applyFont="1" applyFill="1" applyBorder="1"/>
    <xf numFmtId="40" fontId="8" fillId="0" borderId="0" xfId="0" applyNumberFormat="1" applyFont="1" applyFill="1"/>
    <xf numFmtId="49" fontId="9" fillId="0" borderId="2" xfId="0" applyNumberFormat="1" applyFont="1" applyFill="1" applyBorder="1" applyAlignment="1">
      <alignment horizontal="center"/>
    </xf>
    <xf numFmtId="173" fontId="17" fillId="0" borderId="0" xfId="0" applyNumberFormat="1" applyFont="1" applyFill="1"/>
    <xf numFmtId="173" fontId="8" fillId="0" borderId="0" xfId="0" applyNumberFormat="1" applyFont="1" applyFill="1"/>
    <xf numFmtId="3" fontId="12" fillId="0" borderId="0" xfId="0" applyNumberFormat="1" applyFont="1" applyFill="1"/>
    <xf numFmtId="3" fontId="9" fillId="0" borderId="0" xfId="3" applyNumberFormat="1" applyFont="1" applyFill="1"/>
    <xf numFmtId="0" fontId="0" fillId="0" borderId="0" xfId="8" applyFont="1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horizontal="center"/>
    </xf>
    <xf numFmtId="3" fontId="9" fillId="0" borderId="1" xfId="0" applyNumberFormat="1" applyFont="1" applyFill="1" applyBorder="1"/>
    <xf numFmtId="3" fontId="0" fillId="0" borderId="0" xfId="0" applyNumberFormat="1" applyFill="1"/>
    <xf numFmtId="38" fontId="12" fillId="0" borderId="0" xfId="0" applyNumberFormat="1" applyFont="1" applyFill="1"/>
    <xf numFmtId="3" fontId="0" fillId="0" borderId="0" xfId="0" applyNumberFormat="1" applyFont="1" applyFill="1"/>
    <xf numFmtId="3" fontId="8" fillId="0" borderId="0" xfId="0" applyNumberFormat="1" applyFont="1" applyFill="1"/>
    <xf numFmtId="3" fontId="9" fillId="0" borderId="2" xfId="0" applyNumberFormat="1" applyFont="1" applyBorder="1" applyAlignment="1">
      <alignment horizontal="center"/>
    </xf>
    <xf numFmtId="168" fontId="9" fillId="0" borderId="0" xfId="1" applyNumberFormat="1" applyFont="1" applyFill="1"/>
    <xf numFmtId="168" fontId="12" fillId="0" borderId="0" xfId="1" applyNumberFormat="1" applyFont="1" applyFill="1"/>
    <xf numFmtId="3" fontId="14" fillId="0" borderId="0" xfId="0" applyNumberFormat="1" applyFont="1" applyFill="1"/>
    <xf numFmtId="3" fontId="14" fillId="0" borderId="0" xfId="0" applyNumberFormat="1" applyFont="1" applyBorder="1" applyAlignment="1"/>
    <xf numFmtId="40" fontId="9" fillId="0" borderId="4" xfId="0" applyNumberFormat="1" applyFont="1" applyBorder="1"/>
    <xf numFmtId="38" fontId="8" fillId="0" borderId="0" xfId="0" applyNumberFormat="1" applyFont="1"/>
    <xf numFmtId="10" fontId="9" fillId="0" borderId="0" xfId="6" applyNumberFormat="1" applyFont="1"/>
    <xf numFmtId="4" fontId="12" fillId="0" borderId="0" xfId="0" applyNumberFormat="1" applyFont="1" applyFill="1"/>
    <xf numFmtId="38" fontId="23" fillId="0" borderId="0" xfId="6" applyNumberFormat="1" applyFont="1" applyFill="1" applyBorder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1" xfId="0" applyNumberFormat="1" applyFont="1" applyFill="1" applyBorder="1"/>
    <xf numFmtId="10" fontId="23" fillId="0" borderId="1" xfId="6" applyNumberFormat="1" applyFont="1" applyFill="1" applyBorder="1" applyAlignment="1">
      <alignment horizontal="right"/>
    </xf>
    <xf numFmtId="3" fontId="8" fillId="0" borderId="0" xfId="0" applyNumberFormat="1" applyFont="1" applyBorder="1"/>
    <xf numFmtId="168" fontId="9" fillId="0" borderId="0" xfId="10" applyNumberFormat="1" applyFont="1"/>
    <xf numFmtId="168" fontId="38" fillId="0" borderId="0" xfId="10" applyNumberFormat="1" applyFont="1"/>
    <xf numFmtId="4" fontId="34" fillId="0" borderId="0" xfId="0" applyNumberFormat="1" applyFont="1"/>
    <xf numFmtId="38" fontId="39" fillId="0" borderId="0" xfId="0" applyNumberFormat="1" applyFont="1"/>
    <xf numFmtId="0" fontId="39" fillId="0" borderId="0" xfId="0" applyFont="1"/>
    <xf numFmtId="0" fontId="12" fillId="0" borderId="0" xfId="0" quotePrefix="1" applyFont="1"/>
    <xf numFmtId="0" fontId="16" fillId="0" borderId="2" xfId="0" applyFont="1" applyBorder="1"/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68" fontId="12" fillId="0" borderId="0" xfId="10" applyNumberFormat="1" applyFont="1"/>
    <xf numFmtId="3" fontId="10" fillId="5" borderId="1" xfId="0" applyNumberFormat="1" applyFont="1" applyFill="1" applyBorder="1"/>
    <xf numFmtId="37" fontId="25" fillId="0" borderId="0" xfId="0" applyNumberFormat="1" applyFont="1" applyFill="1" applyBorder="1"/>
    <xf numFmtId="37" fontId="12" fillId="0" borderId="0" xfId="1" applyNumberFormat="1" applyFont="1" applyBorder="1"/>
    <xf numFmtId="37" fontId="10" fillId="5" borderId="6" xfId="1" applyNumberFormat="1" applyFont="1" applyFill="1" applyBorder="1"/>
    <xf numFmtId="0" fontId="10" fillId="9" borderId="1" xfId="0" quotePrefix="1" applyFont="1" applyFill="1" applyBorder="1" applyAlignment="1">
      <alignment horizontal="center" wrapText="1"/>
    </xf>
    <xf numFmtId="171" fontId="9" fillId="0" borderId="0" xfId="0" applyNumberFormat="1" applyFont="1" applyFill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68" fontId="34" fillId="0" borderId="0" xfId="1" applyNumberFormat="1" applyFont="1"/>
    <xf numFmtId="0" fontId="38" fillId="0" borderId="0" xfId="0" applyFont="1"/>
    <xf numFmtId="0" fontId="38" fillId="0" borderId="0" xfId="0" applyFont="1" applyFill="1"/>
    <xf numFmtId="0" fontId="10" fillId="0" borderId="0" xfId="0" applyFont="1" applyFill="1"/>
    <xf numFmtId="10" fontId="12" fillId="0" borderId="0" xfId="6" applyNumberFormat="1" applyFont="1" applyFill="1" applyBorder="1" applyAlignment="1"/>
    <xf numFmtId="3" fontId="9" fillId="0" borderId="0" xfId="0" applyNumberFormat="1" applyFont="1" applyFill="1" applyAlignment="1"/>
    <xf numFmtId="3" fontId="9" fillId="0" borderId="0" xfId="0" applyNumberFormat="1" applyFont="1" applyAlignment="1"/>
    <xf numFmtId="172" fontId="12" fillId="0" borderId="0" xfId="0" applyNumberFormat="1" applyFont="1"/>
    <xf numFmtId="173" fontId="12" fillId="0" borderId="0" xfId="0" applyNumberFormat="1" applyFont="1" applyFill="1"/>
    <xf numFmtId="0" fontId="39" fillId="0" borderId="0" xfId="0" applyFont="1" applyFill="1"/>
    <xf numFmtId="10" fontId="10" fillId="5" borderId="6" xfId="6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/>
    <xf numFmtId="40" fontId="38" fillId="0" borderId="0" xfId="0" applyNumberFormat="1" applyFont="1"/>
    <xf numFmtId="3" fontId="0" fillId="0" borderId="0" xfId="0" applyNumberFormat="1" applyFont="1"/>
    <xf numFmtId="10" fontId="40" fillId="0" borderId="0" xfId="6" applyNumberFormat="1" applyFont="1" applyFill="1" applyBorder="1" applyAlignment="1">
      <alignment horizontal="right"/>
    </xf>
    <xf numFmtId="0" fontId="8" fillId="0" borderId="0" xfId="0" applyFont="1" applyFill="1"/>
    <xf numFmtId="3" fontId="17" fillId="0" borderId="0" xfId="0" applyNumberFormat="1" applyFont="1" applyFill="1"/>
    <xf numFmtId="3" fontId="12" fillId="0" borderId="1" xfId="0" applyNumberFormat="1" applyFont="1" applyFill="1" applyBorder="1"/>
    <xf numFmtId="38" fontId="23" fillId="0" borderId="1" xfId="6" applyNumberFormat="1" applyFont="1" applyFill="1" applyBorder="1"/>
    <xf numFmtId="5" fontId="8" fillId="0" borderId="0" xfId="0" applyNumberFormat="1" applyFont="1" applyFill="1"/>
    <xf numFmtId="0" fontId="34" fillId="0" borderId="0" xfId="0" applyFont="1" applyFill="1"/>
    <xf numFmtId="6" fontId="17" fillId="0" borderId="0" xfId="0" applyNumberFormat="1" applyFont="1" applyFill="1"/>
    <xf numFmtId="2" fontId="9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6" fontId="8" fillId="0" borderId="0" xfId="0" applyNumberFormat="1" applyFont="1" applyFill="1" applyAlignment="1">
      <alignment horizontal="right"/>
    </xf>
    <xf numFmtId="0" fontId="36" fillId="0" borderId="0" xfId="0" applyFont="1" applyFill="1"/>
    <xf numFmtId="0" fontId="34" fillId="0" borderId="0" xfId="0" applyFont="1" applyAlignment="1"/>
    <xf numFmtId="10" fontId="8" fillId="0" borderId="0" xfId="6" applyNumberFormat="1" applyFont="1"/>
    <xf numFmtId="0" fontId="34" fillId="11" borderId="0" xfId="0" applyFont="1" applyFill="1"/>
    <xf numFmtId="10" fontId="12" fillId="0" borderId="0" xfId="6" applyNumberFormat="1" applyFont="1" applyBorder="1" applyAlignment="1">
      <alignment horizontal="right"/>
    </xf>
    <xf numFmtId="40" fontId="9" fillId="0" borderId="0" xfId="0" applyNumberFormat="1" applyFont="1" applyFill="1" applyAlignment="1">
      <alignment horizontal="right"/>
    </xf>
    <xf numFmtId="11" fontId="34" fillId="0" borderId="0" xfId="0" applyNumberFormat="1" applyFont="1"/>
    <xf numFmtId="40" fontId="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10" borderId="0" xfId="0" applyFont="1" applyFill="1"/>
    <xf numFmtId="4" fontId="9" fillId="10" borderId="0" xfId="0" applyNumberFormat="1" applyFont="1" applyFill="1"/>
    <xf numFmtId="0" fontId="41" fillId="0" borderId="0" xfId="0" applyFont="1" applyAlignment="1">
      <alignment horizontal="center"/>
    </xf>
    <xf numFmtId="40" fontId="41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168" fontId="12" fillId="0" borderId="0" xfId="10" applyNumberFormat="1" applyFont="1" applyFill="1"/>
    <xf numFmtId="168" fontId="12" fillId="0" borderId="0" xfId="10" applyNumberFormat="1" applyFont="1" applyFill="1" applyAlignment="1">
      <alignment horizontal="center"/>
    </xf>
    <xf numFmtId="168" fontId="9" fillId="0" borderId="0" xfId="10" applyNumberFormat="1" applyFont="1" applyFill="1"/>
    <xf numFmtId="3" fontId="16" fillId="0" borderId="0" xfId="0" applyNumberFormat="1" applyFont="1"/>
    <xf numFmtId="3" fontId="16" fillId="0" borderId="0" xfId="0" applyNumberFormat="1" applyFont="1" applyFill="1" applyBorder="1"/>
    <xf numFmtId="0" fontId="21" fillId="3" borderId="2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6">
    <cellStyle name="Comma" xfId="1" builtinId="3"/>
    <cellStyle name="Comma 2" xfId="10"/>
    <cellStyle name="Currency" xfId="2" builtinId="4"/>
    <cellStyle name="Currency 2" xfId="11"/>
    <cellStyle name="Normal" xfId="0" builtinId="0"/>
    <cellStyle name="Normal 2" xfId="13"/>
    <cellStyle name="Normal 3" xfId="3"/>
    <cellStyle name="Normal 4" xfId="12"/>
    <cellStyle name="Normal 5" xfId="14"/>
    <cellStyle name="Normal 5 2" xfId="15"/>
    <cellStyle name="Normal 6" xfId="8"/>
    <cellStyle name="Normal_Pers Sewer" xfId="4"/>
    <cellStyle name="Normal_Sheet1" xfId="5"/>
    <cellStyle name="Percent" xfId="6" builtinId="5"/>
    <cellStyle name="Percent 2" xfId="9"/>
    <cellStyle name="Title" xfId="7" builtinId="15"/>
  </cellStyles>
  <dxfs count="0"/>
  <tableStyles count="0" defaultTableStyle="TableStyleMedium9" defaultPivotStyle="PivotStyleLight16"/>
  <colors>
    <mruColors>
      <color rgb="FFCC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workbookViewId="0">
      <selection activeCell="Q23" sqref="Q23"/>
    </sheetView>
  </sheetViews>
  <sheetFormatPr defaultColWidth="9.28515625" defaultRowHeight="15"/>
  <cols>
    <col min="1" max="1" width="7.85546875" style="91" customWidth="1"/>
    <col min="2" max="2" width="9.28515625" style="91"/>
    <col min="3" max="3" width="22.5703125" style="91" customWidth="1"/>
    <col min="4" max="4" width="2" style="91" customWidth="1"/>
    <col min="5" max="5" width="15.5703125" style="107" hidden="1" customWidth="1"/>
    <col min="6" max="6" width="2.28515625" style="91" hidden="1" customWidth="1"/>
    <col min="7" max="7" width="15.5703125" style="108" hidden="1" customWidth="1"/>
    <col min="8" max="8" width="2.28515625" style="108" hidden="1" customWidth="1"/>
    <col min="9" max="9" width="15.5703125" style="108" hidden="1" customWidth="1"/>
    <col min="10" max="10" width="2.28515625" style="108" hidden="1" customWidth="1"/>
    <col min="11" max="11" width="15.5703125" style="108" hidden="1" customWidth="1"/>
    <col min="12" max="12" width="2.7109375" style="108" hidden="1" customWidth="1"/>
    <col min="13" max="13" width="15.42578125" style="91" hidden="1" customWidth="1"/>
    <col min="14" max="14" width="15.28515625" style="91" hidden="1" customWidth="1"/>
    <col min="15" max="15" width="15.5703125" style="100" customWidth="1"/>
    <col min="16" max="16" width="3.5703125" style="91" customWidth="1"/>
    <col min="17" max="17" width="15.5703125" style="91" customWidth="1"/>
    <col min="18" max="18" width="3.5703125" style="91" customWidth="1"/>
    <col min="19" max="19" width="15.5703125" style="91" customWidth="1"/>
    <col min="20" max="20" width="2.5703125" style="91" customWidth="1"/>
    <col min="21" max="21" width="16.42578125" style="91" customWidth="1"/>
    <col min="22" max="22" width="4" style="91" customWidth="1"/>
    <col min="23" max="23" width="9.28515625" style="91"/>
    <col min="24" max="24" width="14.42578125" style="91" customWidth="1"/>
    <col min="25" max="25" width="9.7109375" style="91" bestFit="1" customWidth="1"/>
    <col min="26" max="26" width="11.42578125" style="91" bestFit="1" customWidth="1"/>
    <col min="27" max="27" width="9.7109375" style="91" bestFit="1" customWidth="1"/>
    <col min="28" max="28" width="14.42578125" style="91" bestFit="1" customWidth="1"/>
    <col min="29" max="29" width="5.42578125" style="91" customWidth="1"/>
    <col min="30" max="30" width="11.42578125" style="91" bestFit="1" customWidth="1"/>
    <col min="31" max="16384" width="9.28515625" style="91"/>
  </cols>
  <sheetData>
    <row r="1" spans="1:24" s="96" customFormat="1" ht="16.5" thickBot="1">
      <c r="A1" s="478" t="s">
        <v>656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</row>
    <row r="2" spans="1:24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4">
      <c r="A3" s="98"/>
      <c r="B3" s="98"/>
      <c r="C3" s="98"/>
      <c r="D3" s="98"/>
      <c r="E3" s="99"/>
      <c r="G3" s="99"/>
      <c r="H3" s="99"/>
      <c r="I3" s="99"/>
      <c r="J3" s="99"/>
      <c r="K3" s="99"/>
      <c r="L3" s="99"/>
      <c r="N3" s="99"/>
      <c r="P3" s="99"/>
      <c r="Q3" s="99"/>
      <c r="R3" s="99"/>
    </row>
    <row r="4" spans="1:24" s="178" customFormat="1">
      <c r="A4" s="150"/>
      <c r="B4" s="166" t="s">
        <v>273</v>
      </c>
      <c r="C4" s="167"/>
      <c r="D4" s="168"/>
      <c r="E4" s="169" t="s">
        <v>92</v>
      </c>
      <c r="F4" s="140"/>
      <c r="G4" s="169" t="s">
        <v>274</v>
      </c>
      <c r="H4" s="170"/>
      <c r="I4" s="169" t="s">
        <v>275</v>
      </c>
      <c r="J4" s="170"/>
      <c r="K4" s="169" t="s">
        <v>276</v>
      </c>
      <c r="L4" s="165"/>
      <c r="M4" s="169" t="s">
        <v>270</v>
      </c>
      <c r="N4" s="165"/>
      <c r="O4" s="169" t="s">
        <v>623</v>
      </c>
      <c r="P4" s="141"/>
      <c r="Q4" s="169" t="s">
        <v>658</v>
      </c>
      <c r="R4" s="141"/>
      <c r="S4" s="171" t="s">
        <v>277</v>
      </c>
      <c r="T4" s="165"/>
      <c r="U4" s="171" t="s">
        <v>278</v>
      </c>
    </row>
    <row r="5" spans="1:24" s="105" customFormat="1">
      <c r="A5" s="103"/>
      <c r="B5" s="101"/>
      <c r="C5" s="101"/>
      <c r="D5" s="101"/>
      <c r="E5" s="104"/>
      <c r="F5" s="142"/>
      <c r="G5" s="104"/>
      <c r="H5" s="104"/>
      <c r="I5" s="104"/>
      <c r="J5" s="104"/>
      <c r="K5" s="104"/>
      <c r="L5" s="104"/>
      <c r="M5" s="104"/>
      <c r="N5" s="104"/>
      <c r="O5" s="142"/>
      <c r="P5" s="142"/>
      <c r="Q5" s="142"/>
      <c r="R5" s="142"/>
      <c r="S5" s="103"/>
      <c r="T5" s="104"/>
      <c r="U5" s="103"/>
    </row>
    <row r="6" spans="1:24">
      <c r="A6" s="150"/>
      <c r="B6" s="151" t="s">
        <v>279</v>
      </c>
      <c r="C6" s="143"/>
      <c r="D6" s="141"/>
      <c r="E6" s="141"/>
      <c r="F6" s="141"/>
      <c r="G6" s="144"/>
      <c r="H6" s="144"/>
      <c r="I6" s="144"/>
      <c r="J6" s="144"/>
      <c r="K6" s="144"/>
      <c r="L6" s="144"/>
      <c r="M6" s="144"/>
      <c r="N6" s="144"/>
      <c r="O6" s="141"/>
      <c r="P6" s="141"/>
      <c r="Q6" s="141"/>
      <c r="R6" s="141"/>
      <c r="S6" s="152"/>
      <c r="T6" s="144"/>
      <c r="U6" s="141"/>
    </row>
    <row r="7" spans="1:24">
      <c r="A7" s="150"/>
      <c r="B7" s="141" t="s">
        <v>280</v>
      </c>
      <c r="C7" s="141"/>
      <c r="D7" s="141"/>
      <c r="E7" s="144">
        <v>21934544</v>
      </c>
      <c r="F7" s="141"/>
      <c r="G7" s="144">
        <v>22684290</v>
      </c>
      <c r="H7" s="141"/>
      <c r="I7" s="144">
        <f>+G7+G8+G9</f>
        <v>23344777</v>
      </c>
      <c r="J7" s="141"/>
      <c r="K7" s="144">
        <f>+G7+G8+G9</f>
        <v>23344777</v>
      </c>
      <c r="L7" s="141"/>
      <c r="M7" s="144">
        <v>24794254</v>
      </c>
      <c r="N7" s="141"/>
      <c r="O7" s="261">
        <v>33751785</v>
      </c>
      <c r="P7" s="152"/>
      <c r="Q7" s="261">
        <f>+SUM(O7:O9)</f>
        <v>35053189.625</v>
      </c>
      <c r="R7" s="152"/>
      <c r="S7" s="153">
        <f t="shared" ref="S7:S12" si="0">Q7-O7</f>
        <v>1301404.625</v>
      </c>
      <c r="T7" s="152"/>
      <c r="U7" s="158">
        <f>S7/O7</f>
        <v>3.8558097742089792E-2</v>
      </c>
    </row>
    <row r="8" spans="1:24">
      <c r="A8" s="150"/>
      <c r="B8" s="141" t="s">
        <v>281</v>
      </c>
      <c r="C8" s="141"/>
      <c r="D8" s="141"/>
      <c r="E8" s="144">
        <v>548364</v>
      </c>
      <c r="F8" s="141"/>
      <c r="G8" s="144">
        <v>567107</v>
      </c>
      <c r="H8" s="141"/>
      <c r="I8" s="144">
        <f>+I7*0.025</f>
        <v>583619.42500000005</v>
      </c>
      <c r="J8" s="141"/>
      <c r="K8" s="144">
        <f>+K7*0.025</f>
        <v>583619.42500000005</v>
      </c>
      <c r="L8" s="141"/>
      <c r="M8" s="144">
        <v>619856</v>
      </c>
      <c r="N8" s="141"/>
      <c r="O8" s="261">
        <v>843794.625</v>
      </c>
      <c r="P8" s="152"/>
      <c r="Q8" s="261">
        <f>+Q7*0.025</f>
        <v>876329.74062500009</v>
      </c>
      <c r="R8" s="152"/>
      <c r="S8" s="153">
        <f t="shared" si="0"/>
        <v>32535.115625000093</v>
      </c>
      <c r="T8" s="152"/>
      <c r="U8" s="158">
        <f>S8/O8</f>
        <v>3.8558097742089896E-2</v>
      </c>
    </row>
    <row r="9" spans="1:24">
      <c r="A9" s="150"/>
      <c r="B9" s="141" t="s">
        <v>282</v>
      </c>
      <c r="C9" s="141"/>
      <c r="D9" s="141"/>
      <c r="E9" s="144">
        <v>201382</v>
      </c>
      <c r="F9" s="141"/>
      <c r="G9" s="144">
        <v>93380</v>
      </c>
      <c r="H9" s="141"/>
      <c r="I9" s="144">
        <v>100000</v>
      </c>
      <c r="J9" s="141"/>
      <c r="K9" s="144">
        <v>117969</v>
      </c>
      <c r="L9" s="141"/>
      <c r="M9" s="144">
        <v>106308</v>
      </c>
      <c r="N9" s="141"/>
      <c r="O9" s="261">
        <v>457610</v>
      </c>
      <c r="P9" s="152"/>
      <c r="Q9" s="261">
        <f>400000+57610</f>
        <v>457610</v>
      </c>
      <c r="R9" s="152"/>
      <c r="S9" s="153">
        <f t="shared" si="0"/>
        <v>0</v>
      </c>
      <c r="T9" s="152"/>
      <c r="U9" s="158">
        <f>S9/O9</f>
        <v>0</v>
      </c>
    </row>
    <row r="10" spans="1:24">
      <c r="A10" s="150"/>
      <c r="B10" s="142" t="s">
        <v>283</v>
      </c>
      <c r="C10" s="142"/>
      <c r="D10" s="142"/>
      <c r="E10" s="146">
        <v>461039</v>
      </c>
      <c r="F10" s="142"/>
      <c r="G10" s="144">
        <v>517306</v>
      </c>
      <c r="H10" s="141"/>
      <c r="I10" s="144">
        <v>497038</v>
      </c>
      <c r="J10" s="141"/>
      <c r="K10" s="147">
        <v>497038</v>
      </c>
      <c r="L10" s="141"/>
      <c r="M10" s="146">
        <v>470775</v>
      </c>
      <c r="N10" s="142"/>
      <c r="O10" s="402">
        <v>322950</v>
      </c>
      <c r="P10" s="403"/>
      <c r="Q10" s="402">
        <v>310700</v>
      </c>
      <c r="R10" s="403"/>
      <c r="S10" s="153">
        <f t="shared" si="0"/>
        <v>-12250</v>
      </c>
      <c r="T10" s="403"/>
      <c r="U10" s="158">
        <f>S10/O10</f>
        <v>-3.7931568354234405E-2</v>
      </c>
    </row>
    <row r="11" spans="1:24">
      <c r="A11" s="150"/>
      <c r="B11" s="142" t="s">
        <v>472</v>
      </c>
      <c r="C11" s="142"/>
      <c r="D11" s="142"/>
      <c r="E11" s="146"/>
      <c r="F11" s="142"/>
      <c r="G11" s="144"/>
      <c r="H11" s="141"/>
      <c r="I11" s="144"/>
      <c r="J11" s="141"/>
      <c r="K11" s="146"/>
      <c r="L11" s="141"/>
      <c r="M11" s="146"/>
      <c r="N11" s="142"/>
      <c r="O11" s="402">
        <v>867794</v>
      </c>
      <c r="P11" s="403"/>
      <c r="Q11" s="402">
        <f>1152144-310700</f>
        <v>841444</v>
      </c>
      <c r="R11" s="403"/>
      <c r="S11" s="153">
        <f t="shared" si="0"/>
        <v>-26350</v>
      </c>
      <c r="T11" s="403"/>
      <c r="U11" s="158">
        <f>S11/O11</f>
        <v>-3.0364349142768907E-2</v>
      </c>
    </row>
    <row r="12" spans="1:24">
      <c r="A12" s="150"/>
      <c r="B12" s="141" t="s">
        <v>284</v>
      </c>
      <c r="C12" s="141"/>
      <c r="D12" s="141"/>
      <c r="E12" s="144"/>
      <c r="F12" s="141"/>
      <c r="G12" s="144"/>
      <c r="H12" s="141"/>
      <c r="I12" s="144"/>
      <c r="J12" s="141"/>
      <c r="K12" s="144"/>
      <c r="L12" s="141"/>
      <c r="M12" s="147"/>
      <c r="N12" s="141"/>
      <c r="O12" s="404"/>
      <c r="P12" s="261"/>
      <c r="Q12" s="404"/>
      <c r="R12" s="152"/>
      <c r="S12" s="155">
        <f t="shared" si="0"/>
        <v>0</v>
      </c>
      <c r="T12" s="152"/>
      <c r="U12" s="405" t="s">
        <v>372</v>
      </c>
      <c r="X12" s="454"/>
    </row>
    <row r="13" spans="1:24">
      <c r="A13" s="150"/>
      <c r="B13" s="156" t="s">
        <v>285</v>
      </c>
      <c r="C13" s="140"/>
      <c r="D13" s="141"/>
      <c r="E13" s="157">
        <f>SUM(E7:E10)</f>
        <v>23145329</v>
      </c>
      <c r="F13" s="140"/>
      <c r="G13" s="157">
        <f>SUM(G7:G10)</f>
        <v>23862083</v>
      </c>
      <c r="H13" s="140"/>
      <c r="I13" s="157">
        <f>SUM(I7:I10)</f>
        <v>24525434.425000001</v>
      </c>
      <c r="J13" s="140"/>
      <c r="K13" s="157">
        <f>SUM(K7:K10)</f>
        <v>24543403.425000001</v>
      </c>
      <c r="L13" s="141"/>
      <c r="M13" s="157">
        <f>SUM(M7:M12)</f>
        <v>25991193</v>
      </c>
      <c r="N13" s="141"/>
      <c r="O13" s="157">
        <f>SUM(O7:O12)</f>
        <v>36243933.625</v>
      </c>
      <c r="P13" s="141"/>
      <c r="Q13" s="157">
        <f>SUM(Q7:Q12)</f>
        <v>37539273.365625001</v>
      </c>
      <c r="R13" s="141"/>
      <c r="S13" s="157">
        <f>SUM(S7:S12)</f>
        <v>1295339.7406250001</v>
      </c>
      <c r="T13" s="182"/>
      <c r="U13" s="183">
        <f>S13/O13</f>
        <v>3.5739491028410689E-2</v>
      </c>
      <c r="W13" s="294"/>
    </row>
    <row r="14" spans="1:24">
      <c r="A14" s="150"/>
      <c r="B14" s="141"/>
      <c r="C14" s="141"/>
      <c r="D14" s="141"/>
      <c r="E14" s="144"/>
      <c r="F14" s="141"/>
      <c r="G14" s="144"/>
      <c r="H14" s="141"/>
      <c r="I14" s="144"/>
      <c r="J14" s="141"/>
      <c r="K14" s="144"/>
      <c r="L14" s="141"/>
      <c r="M14" s="144"/>
      <c r="N14" s="141"/>
      <c r="O14" s="141"/>
      <c r="P14" s="141"/>
      <c r="Q14" s="141"/>
      <c r="R14" s="141"/>
      <c r="S14" s="152"/>
      <c r="T14" s="141"/>
      <c r="U14" s="141"/>
      <c r="W14" s="294"/>
    </row>
    <row r="15" spans="1:24">
      <c r="A15" s="150"/>
      <c r="B15" s="151" t="s">
        <v>286</v>
      </c>
      <c r="C15" s="143"/>
      <c r="D15" s="141"/>
      <c r="E15" s="144"/>
      <c r="F15" s="141"/>
      <c r="G15" s="144"/>
      <c r="H15" s="141"/>
      <c r="I15" s="144"/>
      <c r="J15" s="141"/>
      <c r="K15" s="144"/>
      <c r="L15" s="141"/>
      <c r="M15" s="144"/>
      <c r="N15" s="141"/>
      <c r="O15" s="141"/>
      <c r="P15" s="141"/>
      <c r="Q15" s="141"/>
      <c r="R15" s="141"/>
      <c r="S15" s="152"/>
      <c r="T15" s="141"/>
      <c r="U15" s="141"/>
      <c r="W15" s="294"/>
    </row>
    <row r="16" spans="1:24">
      <c r="A16" s="150"/>
      <c r="B16" s="141" t="s">
        <v>287</v>
      </c>
      <c r="C16" s="141"/>
      <c r="D16" s="141"/>
      <c r="E16" s="144">
        <v>5716743</v>
      </c>
      <c r="F16" s="141"/>
      <c r="G16" s="144">
        <v>5696955</v>
      </c>
      <c r="H16" s="141"/>
      <c r="I16" s="144">
        <f>5696955+131130</f>
        <v>5828085</v>
      </c>
      <c r="J16" s="141"/>
      <c r="K16" s="144">
        <v>5875638</v>
      </c>
      <c r="L16" s="141"/>
      <c r="M16" s="144">
        <v>6104596</v>
      </c>
      <c r="N16" s="141"/>
      <c r="O16" s="153">
        <v>6906436</v>
      </c>
      <c r="P16" s="152"/>
      <c r="Q16" s="153">
        <v>6977844</v>
      </c>
      <c r="R16" s="152"/>
      <c r="S16" s="153">
        <f>Q16-O16</f>
        <v>71408</v>
      </c>
      <c r="T16" s="152"/>
      <c r="U16" s="158">
        <f>S16/O16</f>
        <v>1.0339341449048394E-2</v>
      </c>
      <c r="W16" s="294"/>
    </row>
    <row r="17" spans="1:24">
      <c r="A17" s="150"/>
      <c r="B17" s="141" t="s">
        <v>446</v>
      </c>
      <c r="C17" s="141"/>
      <c r="D17" s="141"/>
      <c r="E17" s="147">
        <f>-6217-8387</f>
        <v>-14604</v>
      </c>
      <c r="F17" s="141"/>
      <c r="G17" s="147">
        <f>-6971-8270</f>
        <v>-15241</v>
      </c>
      <c r="H17" s="141"/>
      <c r="I17" s="147">
        <f>-6971-8270</f>
        <v>-15241</v>
      </c>
      <c r="J17" s="141"/>
      <c r="K17" s="147">
        <f>-6452-7596</f>
        <v>-14048</v>
      </c>
      <c r="L17" s="141"/>
      <c r="M17" s="147">
        <v>-16227</v>
      </c>
      <c r="N17" s="141"/>
      <c r="O17" s="155">
        <v>-20481</v>
      </c>
      <c r="P17" s="152"/>
      <c r="Q17" s="155">
        <v>-20495</v>
      </c>
      <c r="R17" s="141"/>
      <c r="S17" s="155">
        <f>Q17-O17</f>
        <v>-14</v>
      </c>
      <c r="T17" s="141"/>
      <c r="U17" s="148">
        <f>S17/O17</f>
        <v>6.8356037302866074E-4</v>
      </c>
      <c r="W17" s="294"/>
    </row>
    <row r="18" spans="1:24">
      <c r="A18" s="150"/>
      <c r="B18" s="156" t="s">
        <v>288</v>
      </c>
      <c r="C18" s="140"/>
      <c r="D18" s="141"/>
      <c r="E18" s="157">
        <f>SUM(E16:E17)</f>
        <v>5702139</v>
      </c>
      <c r="F18" s="140"/>
      <c r="G18" s="157">
        <f>SUM(G16:G17)</f>
        <v>5681714</v>
      </c>
      <c r="H18" s="140"/>
      <c r="I18" s="157">
        <f>SUM(I16:I17)</f>
        <v>5812844</v>
      </c>
      <c r="J18" s="140"/>
      <c r="K18" s="157">
        <f>SUM(K16:K17)</f>
        <v>5861590</v>
      </c>
      <c r="L18" s="141"/>
      <c r="M18" s="157">
        <f>SUM(M16:M17)</f>
        <v>6088369</v>
      </c>
      <c r="N18" s="141"/>
      <c r="O18" s="157">
        <f>SUM(O16:O17)</f>
        <v>6885955</v>
      </c>
      <c r="P18" s="141"/>
      <c r="Q18" s="157">
        <f>SUM(Q16:Q17)</f>
        <v>6957349</v>
      </c>
      <c r="R18" s="141"/>
      <c r="S18" s="157">
        <f>SUM(S16:S17)</f>
        <v>71394</v>
      </c>
      <c r="T18" s="141"/>
      <c r="U18" s="183">
        <f>S18/O18</f>
        <v>1.0368060784597052E-2</v>
      </c>
      <c r="W18" s="294"/>
    </row>
    <row r="19" spans="1:24">
      <c r="A19" s="150"/>
      <c r="B19" s="141"/>
      <c r="C19" s="141"/>
      <c r="D19" s="141"/>
      <c r="E19" s="144"/>
      <c r="F19" s="141"/>
      <c r="G19" s="144"/>
      <c r="H19" s="141"/>
      <c r="I19" s="144"/>
      <c r="J19" s="141"/>
      <c r="K19" s="144"/>
      <c r="L19" s="141"/>
      <c r="M19" s="144"/>
      <c r="N19" s="141"/>
      <c r="O19" s="141"/>
      <c r="P19" s="141"/>
      <c r="Q19" s="141"/>
      <c r="R19" s="141"/>
      <c r="S19" s="152"/>
      <c r="T19" s="141"/>
      <c r="U19" s="141"/>
      <c r="W19" s="294"/>
    </row>
    <row r="20" spans="1:24">
      <c r="A20" s="150"/>
      <c r="B20" s="156" t="s">
        <v>289</v>
      </c>
      <c r="C20" s="140"/>
      <c r="D20" s="141"/>
      <c r="E20" s="144"/>
      <c r="F20" s="141"/>
      <c r="G20" s="144"/>
      <c r="H20" s="141"/>
      <c r="I20" s="144"/>
      <c r="J20" s="141"/>
      <c r="K20" s="144"/>
      <c r="L20" s="141"/>
      <c r="M20" s="144"/>
      <c r="N20" s="141"/>
      <c r="O20" s="141"/>
      <c r="P20" s="141"/>
      <c r="Q20" s="141"/>
      <c r="R20" s="141"/>
      <c r="S20" s="152"/>
      <c r="T20" s="141"/>
      <c r="U20" s="141"/>
      <c r="W20" s="294"/>
    </row>
    <row r="21" spans="1:24" s="70" customFormat="1">
      <c r="A21" s="150"/>
      <c r="B21" s="152" t="s">
        <v>290</v>
      </c>
      <c r="C21" s="152"/>
      <c r="D21" s="152"/>
      <c r="E21" s="153">
        <f>2769250+1008</f>
        <v>2770258</v>
      </c>
      <c r="F21" s="152"/>
      <c r="G21" s="153" t="e">
        <f>2980000-#REF!-G24</f>
        <v>#REF!</v>
      </c>
      <c r="H21" s="152"/>
      <c r="I21" s="153">
        <v>2734300</v>
      </c>
      <c r="J21" s="152"/>
      <c r="K21" s="153">
        <f>+I21+1530</f>
        <v>2735830</v>
      </c>
      <c r="L21" s="152"/>
      <c r="M21" s="153">
        <f>3270996+1210+3906</f>
        <v>3276112</v>
      </c>
      <c r="N21" s="152"/>
      <c r="O21" s="153">
        <f>4145731+2676</f>
        <v>4148407</v>
      </c>
      <c r="P21" s="152"/>
      <c r="Q21" s="153">
        <f>4700000+10000+120481+6960-1075+162058+199</f>
        <v>4998623</v>
      </c>
      <c r="R21" s="152"/>
      <c r="S21" s="153">
        <f t="shared" ref="S21:S27" si="1">Q21-O21</f>
        <v>850216</v>
      </c>
      <c r="T21" s="152"/>
      <c r="U21" s="158">
        <f t="shared" ref="U21:U28" si="2">S21/O21</f>
        <v>0.20494999646852394</v>
      </c>
      <c r="W21" s="308"/>
      <c r="X21" s="427"/>
    </row>
    <row r="22" spans="1:24">
      <c r="A22" s="150"/>
      <c r="B22" s="141" t="s">
        <v>291</v>
      </c>
      <c r="C22" s="141"/>
      <c r="D22" s="141"/>
      <c r="E22" s="153">
        <v>125000</v>
      </c>
      <c r="F22" s="152"/>
      <c r="G22" s="153">
        <v>150000</v>
      </c>
      <c r="H22" s="141"/>
      <c r="I22" s="153">
        <v>75000</v>
      </c>
      <c r="J22" s="141"/>
      <c r="K22" s="153">
        <v>75000</v>
      </c>
      <c r="L22" s="141"/>
      <c r="M22" s="153">
        <v>155823</v>
      </c>
      <c r="N22" s="141"/>
      <c r="O22" s="153">
        <v>350000</v>
      </c>
      <c r="P22" s="152"/>
      <c r="Q22" s="153">
        <v>350000</v>
      </c>
      <c r="R22" s="152"/>
      <c r="S22" s="153">
        <f t="shared" si="1"/>
        <v>0</v>
      </c>
      <c r="T22" s="141"/>
      <c r="U22" s="145">
        <f t="shared" si="2"/>
        <v>0</v>
      </c>
      <c r="W22" s="294"/>
      <c r="X22" s="428"/>
    </row>
    <row r="23" spans="1:24">
      <c r="A23" s="150"/>
      <c r="B23" s="141" t="s">
        <v>764</v>
      </c>
      <c r="C23" s="141"/>
      <c r="D23" s="141"/>
      <c r="E23" s="153">
        <v>482086</v>
      </c>
      <c r="F23" s="152"/>
      <c r="G23" s="153">
        <v>825000</v>
      </c>
      <c r="H23" s="141"/>
      <c r="I23" s="153">
        <v>850000</v>
      </c>
      <c r="J23" s="141"/>
      <c r="K23" s="153">
        <v>850000</v>
      </c>
      <c r="L23" s="141"/>
      <c r="M23" s="153">
        <v>950000</v>
      </c>
      <c r="N23" s="141"/>
      <c r="O23" s="153">
        <f>1300000+100000</f>
        <v>1400000</v>
      </c>
      <c r="P23" s="152"/>
      <c r="Q23" s="153">
        <f>1300000+100000+225000+100000</f>
        <v>1725000</v>
      </c>
      <c r="R23" s="152"/>
      <c r="S23" s="153">
        <f t="shared" si="1"/>
        <v>325000</v>
      </c>
      <c r="T23" s="141"/>
      <c r="U23" s="145">
        <f t="shared" si="2"/>
        <v>0.23214285714285715</v>
      </c>
      <c r="W23" s="294"/>
      <c r="X23" s="437"/>
    </row>
    <row r="24" spans="1:24">
      <c r="A24" s="150"/>
      <c r="B24" s="141" t="s">
        <v>746</v>
      </c>
      <c r="C24" s="141"/>
      <c r="D24" s="141"/>
      <c r="E24" s="144">
        <v>65000</v>
      </c>
      <c r="F24" s="141"/>
      <c r="G24" s="153">
        <v>65000</v>
      </c>
      <c r="H24" s="141"/>
      <c r="I24" s="153">
        <v>65000</v>
      </c>
      <c r="J24" s="141"/>
      <c r="K24" s="153">
        <v>65000</v>
      </c>
      <c r="L24" s="141"/>
      <c r="M24" s="153">
        <v>45000</v>
      </c>
      <c r="N24" s="141"/>
      <c r="O24" s="153">
        <v>0</v>
      </c>
      <c r="P24" s="152"/>
      <c r="Q24" s="153">
        <f>7000+20000+30000</f>
        <v>57000</v>
      </c>
      <c r="R24" s="152"/>
      <c r="S24" s="153">
        <f t="shared" si="1"/>
        <v>57000</v>
      </c>
      <c r="T24" s="141"/>
      <c r="U24" s="145"/>
      <c r="X24" s="437" t="s">
        <v>747</v>
      </c>
    </row>
    <row r="25" spans="1:24">
      <c r="A25" s="150"/>
      <c r="B25" s="141" t="s">
        <v>295</v>
      </c>
      <c r="C25" s="141"/>
      <c r="D25" s="141"/>
      <c r="E25" s="146">
        <v>16000</v>
      </c>
      <c r="F25" s="142"/>
      <c r="G25" s="154">
        <v>0</v>
      </c>
      <c r="H25" s="142"/>
      <c r="I25" s="154">
        <v>20000</v>
      </c>
      <c r="J25" s="142"/>
      <c r="K25" s="154">
        <v>20000</v>
      </c>
      <c r="L25" s="142"/>
      <c r="M25" s="154">
        <v>45000</v>
      </c>
      <c r="N25" s="142"/>
      <c r="O25" s="154">
        <v>25000</v>
      </c>
      <c r="P25" s="152"/>
      <c r="Q25" s="154">
        <v>25000</v>
      </c>
      <c r="R25" s="152"/>
      <c r="S25" s="153">
        <f t="shared" si="1"/>
        <v>0</v>
      </c>
      <c r="T25" s="141"/>
      <c r="U25" s="145">
        <f t="shared" si="2"/>
        <v>0</v>
      </c>
    </row>
    <row r="26" spans="1:24">
      <c r="A26" s="150"/>
      <c r="B26" s="141" t="s">
        <v>550</v>
      </c>
      <c r="C26" s="141"/>
      <c r="D26" s="141"/>
      <c r="E26" s="146"/>
      <c r="F26" s="142"/>
      <c r="G26" s="154"/>
      <c r="H26" s="142"/>
      <c r="I26" s="154"/>
      <c r="J26" s="142"/>
      <c r="K26" s="154"/>
      <c r="L26" s="142"/>
      <c r="M26" s="154"/>
      <c r="N26" s="142"/>
      <c r="O26" s="154">
        <v>95043</v>
      </c>
      <c r="P26" s="141"/>
      <c r="Q26" s="154">
        <v>93439</v>
      </c>
      <c r="R26" s="141"/>
      <c r="S26" s="153">
        <f t="shared" si="1"/>
        <v>-1604</v>
      </c>
      <c r="T26" s="141"/>
      <c r="U26" s="145">
        <f t="shared" si="2"/>
        <v>-1.6876571657039444E-2</v>
      </c>
    </row>
    <row r="27" spans="1:24" s="70" customFormat="1">
      <c r="A27" s="150"/>
      <c r="B27" s="152" t="s">
        <v>296</v>
      </c>
      <c r="C27" s="152"/>
      <c r="D27" s="152"/>
      <c r="E27" s="154">
        <v>0</v>
      </c>
      <c r="F27" s="152"/>
      <c r="G27" s="155">
        <v>151722</v>
      </c>
      <c r="H27" s="152"/>
      <c r="I27" s="154">
        <f>116515+42800</f>
        <v>159315</v>
      </c>
      <c r="J27" s="152"/>
      <c r="K27" s="155">
        <f>116515+42800</f>
        <v>159315</v>
      </c>
      <c r="L27" s="152"/>
      <c r="M27" s="155">
        <v>174552</v>
      </c>
      <c r="N27" s="152"/>
      <c r="O27" s="155">
        <v>453226</v>
      </c>
      <c r="P27" s="152"/>
      <c r="Q27" s="155">
        <f>70000+50000+329712</f>
        <v>449712</v>
      </c>
      <c r="R27" s="152"/>
      <c r="S27" s="155">
        <f t="shared" si="1"/>
        <v>-3514</v>
      </c>
      <c r="T27" s="152"/>
      <c r="U27" s="309">
        <f t="shared" si="2"/>
        <v>-7.7533062975204421E-3</v>
      </c>
      <c r="X27" s="427"/>
    </row>
    <row r="28" spans="1:24">
      <c r="A28" s="150"/>
      <c r="B28" s="156" t="s">
        <v>297</v>
      </c>
      <c r="C28" s="140"/>
      <c r="D28" s="141"/>
      <c r="E28" s="157">
        <f>SUM(E21:E27)</f>
        <v>3458344</v>
      </c>
      <c r="F28" s="140"/>
      <c r="G28" s="157" t="e">
        <f>SUM(G21:G27)</f>
        <v>#REF!</v>
      </c>
      <c r="H28" s="140"/>
      <c r="I28" s="157">
        <f>SUM(I21:I27)</f>
        <v>3903615</v>
      </c>
      <c r="J28" s="140"/>
      <c r="K28" s="157">
        <f>SUM(K21:K27)</f>
        <v>3905145</v>
      </c>
      <c r="L28" s="141"/>
      <c r="M28" s="157">
        <f>SUM(M21:M27)</f>
        <v>4646487</v>
      </c>
      <c r="N28" s="141"/>
      <c r="O28" s="157">
        <f>SUM(O21:O27)</f>
        <v>6471676</v>
      </c>
      <c r="P28" s="141"/>
      <c r="Q28" s="157">
        <f>SUM(Q21:Q27)</f>
        <v>7698774</v>
      </c>
      <c r="R28" s="141"/>
      <c r="S28" s="157">
        <f>SUM(S21:S27)</f>
        <v>1227098</v>
      </c>
      <c r="T28" s="182"/>
      <c r="U28" s="183">
        <f t="shared" si="2"/>
        <v>0.18961054292582014</v>
      </c>
    </row>
    <row r="29" spans="1:24">
      <c r="A29" s="150"/>
      <c r="B29" s="159"/>
      <c r="C29" s="141"/>
      <c r="D29" s="141"/>
      <c r="E29" s="144"/>
      <c r="F29" s="141"/>
      <c r="G29" s="144"/>
      <c r="H29" s="141"/>
      <c r="I29" s="144"/>
      <c r="J29" s="141"/>
      <c r="K29" s="144"/>
      <c r="L29" s="141"/>
      <c r="M29" s="144"/>
      <c r="N29" s="141"/>
      <c r="O29" s="144"/>
      <c r="P29" s="141"/>
      <c r="Q29" s="144"/>
      <c r="R29" s="141"/>
      <c r="S29" s="152"/>
      <c r="T29" s="141"/>
      <c r="U29" s="141"/>
      <c r="X29" s="107"/>
    </row>
    <row r="30" spans="1:24" ht="15.75" thickBot="1">
      <c r="A30" s="150"/>
      <c r="B30" s="156" t="s">
        <v>304</v>
      </c>
      <c r="C30" s="156"/>
      <c r="D30" s="159"/>
      <c r="E30" s="161" t="e">
        <f>+#REF!+E28+E18+E13</f>
        <v>#REF!</v>
      </c>
      <c r="F30" s="140"/>
      <c r="G30" s="161" t="e">
        <f>+#REF!+G28+G18+G13</f>
        <v>#REF!</v>
      </c>
      <c r="H30" s="140"/>
      <c r="I30" s="161" t="e">
        <f>+#REF!+I28+I18+I13</f>
        <v>#REF!</v>
      </c>
      <c r="J30" s="140"/>
      <c r="K30" s="161" t="e">
        <f>+#REF!+K28+K18+K13</f>
        <v>#REF!</v>
      </c>
      <c r="L30" s="141"/>
      <c r="M30" s="161">
        <f>M28+M18+M13</f>
        <v>36726049</v>
      </c>
      <c r="N30" s="141"/>
      <c r="O30" s="161">
        <f>O28+O18+O13</f>
        <v>49601564.625</v>
      </c>
      <c r="P30" s="141"/>
      <c r="Q30" s="161">
        <f>Q28+Q18+Q13</f>
        <v>52195396.365625001</v>
      </c>
      <c r="R30" s="141"/>
      <c r="S30" s="161">
        <f>S28+S18+S13</f>
        <v>2593831.7406250001</v>
      </c>
      <c r="T30" s="141"/>
      <c r="U30" s="162">
        <f>S30/O30</f>
        <v>5.2293345184471589E-2</v>
      </c>
      <c r="X30" s="107"/>
    </row>
    <row r="31" spans="1:24" ht="15.75" thickTop="1">
      <c r="A31" s="150"/>
      <c r="B31" s="150"/>
      <c r="C31" s="150"/>
      <c r="D31" s="150"/>
      <c r="E31" s="144"/>
      <c r="F31" s="141"/>
      <c r="G31" s="144"/>
      <c r="H31" s="141"/>
      <c r="I31" s="144"/>
      <c r="J31" s="141"/>
      <c r="K31" s="144"/>
      <c r="L31" s="141"/>
      <c r="M31" s="144"/>
      <c r="N31" s="141"/>
      <c r="O31" s="144"/>
      <c r="P31" s="141"/>
      <c r="Q31" s="144"/>
      <c r="R31" s="141"/>
      <c r="S31" s="152"/>
      <c r="T31" s="141"/>
      <c r="U31" s="141"/>
    </row>
    <row r="32" spans="1:24" hidden="1">
      <c r="A32" s="150"/>
      <c r="B32" s="141" t="s">
        <v>305</v>
      </c>
      <c r="C32" s="163"/>
      <c r="D32" s="163"/>
      <c r="E32" s="144"/>
      <c r="F32" s="141"/>
      <c r="G32" s="144"/>
      <c r="H32" s="144"/>
      <c r="I32" s="144"/>
      <c r="J32" s="144"/>
      <c r="K32" s="144"/>
      <c r="L32" s="144"/>
      <c r="M32" s="144"/>
      <c r="N32" s="144"/>
      <c r="O32" s="144"/>
      <c r="P32" s="141"/>
      <c r="Q32" s="144"/>
      <c r="R32" s="141"/>
      <c r="S32" s="152"/>
      <c r="T32" s="144"/>
      <c r="U32" s="141"/>
    </row>
    <row r="33" spans="1:31" hidden="1">
      <c r="A33" s="150"/>
      <c r="B33" s="141"/>
      <c r="C33" s="163"/>
      <c r="D33" s="163"/>
      <c r="E33" s="164" t="s">
        <v>306</v>
      </c>
      <c r="F33" s="141"/>
      <c r="G33" s="144" t="s">
        <v>306</v>
      </c>
      <c r="H33" s="144"/>
      <c r="I33" s="144" t="s">
        <v>306</v>
      </c>
      <c r="J33" s="144"/>
      <c r="K33" s="144" t="s">
        <v>306</v>
      </c>
      <c r="L33" s="144"/>
      <c r="M33" s="144" t="s">
        <v>306</v>
      </c>
      <c r="N33" s="144"/>
      <c r="O33" s="144" t="s">
        <v>306</v>
      </c>
      <c r="P33" s="141"/>
      <c r="Q33" s="144" t="s">
        <v>306</v>
      </c>
      <c r="R33" s="141"/>
      <c r="S33" s="152"/>
      <c r="T33" s="144"/>
      <c r="U33" s="141"/>
    </row>
    <row r="34" spans="1:31" hidden="1">
      <c r="A34" s="150"/>
      <c r="B34" s="150"/>
      <c r="C34" s="150"/>
      <c r="D34" s="150"/>
      <c r="E34" s="165" t="s">
        <v>307</v>
      </c>
      <c r="F34" s="141"/>
      <c r="G34" s="144" t="s">
        <v>307</v>
      </c>
      <c r="H34" s="144"/>
      <c r="I34" s="144" t="s">
        <v>307</v>
      </c>
      <c r="J34" s="144"/>
      <c r="K34" s="144" t="s">
        <v>307</v>
      </c>
      <c r="L34" s="144"/>
      <c r="M34" s="144" t="s">
        <v>307</v>
      </c>
      <c r="N34" s="144"/>
      <c r="O34" s="144" t="s">
        <v>307</v>
      </c>
      <c r="P34" s="141"/>
      <c r="Q34" s="144" t="s">
        <v>307</v>
      </c>
      <c r="R34" s="141"/>
      <c r="S34" s="152"/>
      <c r="T34" s="144"/>
      <c r="U34" s="141"/>
    </row>
    <row r="35" spans="1:31" hidden="1">
      <c r="A35" s="150"/>
      <c r="B35" s="150"/>
      <c r="C35" s="150"/>
      <c r="D35" s="150"/>
      <c r="E35" s="165" t="s">
        <v>308</v>
      </c>
      <c r="F35" s="141"/>
      <c r="G35" s="144" t="s">
        <v>308</v>
      </c>
      <c r="H35" s="144"/>
      <c r="I35" s="144" t="s">
        <v>308</v>
      </c>
      <c r="J35" s="144"/>
      <c r="K35" s="144" t="s">
        <v>308</v>
      </c>
      <c r="L35" s="144"/>
      <c r="M35" s="144" t="s">
        <v>308</v>
      </c>
      <c r="N35" s="144"/>
      <c r="O35" s="144" t="s">
        <v>308</v>
      </c>
      <c r="P35" s="141"/>
      <c r="Q35" s="144" t="s">
        <v>308</v>
      </c>
      <c r="R35" s="141"/>
      <c r="S35" s="152"/>
      <c r="T35" s="144"/>
      <c r="U35" s="141"/>
    </row>
    <row r="36" spans="1:31">
      <c r="A36" s="150"/>
      <c r="B36" s="150"/>
      <c r="C36" s="150"/>
      <c r="D36" s="150"/>
      <c r="E36" s="165"/>
      <c r="F36" s="141"/>
      <c r="G36" s="144"/>
      <c r="H36" s="144"/>
      <c r="I36" s="144"/>
      <c r="J36" s="144"/>
      <c r="K36" s="144"/>
      <c r="L36" s="144"/>
      <c r="M36" s="144"/>
      <c r="N36" s="144"/>
      <c r="O36" s="144"/>
      <c r="P36" s="141"/>
      <c r="Q36" s="144"/>
      <c r="R36" s="141"/>
      <c r="S36" s="152"/>
      <c r="T36" s="144"/>
      <c r="U36" s="141"/>
    </row>
    <row r="37" spans="1:31">
      <c r="A37" s="150"/>
      <c r="B37" s="166" t="s">
        <v>309</v>
      </c>
      <c r="C37" s="167"/>
      <c r="D37" s="168"/>
      <c r="E37" s="169" t="s">
        <v>92</v>
      </c>
      <c r="F37" s="140"/>
      <c r="G37" s="169" t="s">
        <v>234</v>
      </c>
      <c r="H37" s="170"/>
      <c r="I37" s="169" t="s">
        <v>238</v>
      </c>
      <c r="J37" s="170"/>
      <c r="K37" s="169" t="s">
        <v>238</v>
      </c>
      <c r="L37" s="165"/>
      <c r="M37" s="169" t="str">
        <f>+M4</f>
        <v>FY 15</v>
      </c>
      <c r="N37" s="165"/>
      <c r="O37" s="169" t="str">
        <f>+O4</f>
        <v>FY 24</v>
      </c>
      <c r="P37" s="141"/>
      <c r="Q37" s="169" t="str">
        <f>+Q4</f>
        <v>FY 25</v>
      </c>
      <c r="R37" s="141"/>
      <c r="S37" s="171" t="s">
        <v>277</v>
      </c>
      <c r="T37" s="165"/>
      <c r="U37" s="171" t="s">
        <v>278</v>
      </c>
    </row>
    <row r="38" spans="1:31">
      <c r="A38" s="150"/>
      <c r="B38" s="141"/>
      <c r="C38" s="141"/>
      <c r="D38" s="141"/>
      <c r="E38" s="144"/>
      <c r="F38" s="141"/>
      <c r="G38" s="144"/>
      <c r="H38" s="144"/>
      <c r="I38" s="144"/>
      <c r="J38" s="144"/>
      <c r="K38" s="144"/>
      <c r="L38" s="144"/>
      <c r="M38" s="144"/>
      <c r="N38" s="144"/>
      <c r="O38" s="141"/>
      <c r="P38" s="141"/>
      <c r="Q38" s="141"/>
      <c r="R38" s="141"/>
      <c r="S38" s="172"/>
      <c r="T38" s="144"/>
      <c r="U38" s="141"/>
    </row>
    <row r="39" spans="1:31">
      <c r="A39" s="150"/>
      <c r="B39" s="141" t="s">
        <v>335</v>
      </c>
      <c r="C39" s="141"/>
      <c r="D39" s="141"/>
      <c r="E39" s="153">
        <v>8968716</v>
      </c>
      <c r="F39" s="152"/>
      <c r="G39" s="153">
        <v>21546716</v>
      </c>
      <c r="H39" s="153"/>
      <c r="I39" s="153">
        <v>23505138</v>
      </c>
      <c r="J39" s="153"/>
      <c r="K39" s="153">
        <f>22507976-K59</f>
        <v>22232976</v>
      </c>
      <c r="L39" s="153"/>
      <c r="M39" s="149" t="e">
        <f>Summary!#REF!</f>
        <v>#REF!</v>
      </c>
      <c r="N39" s="153"/>
      <c r="O39" s="153">
        <v>30145331.409999996</v>
      </c>
      <c r="P39" s="141"/>
      <c r="Q39" s="401">
        <f>Summary!D33</f>
        <v>31849243.406000003</v>
      </c>
      <c r="R39" s="141"/>
      <c r="S39" s="153">
        <f>Q39-O39</f>
        <v>1703911.9960000068</v>
      </c>
      <c r="T39" s="153"/>
      <c r="U39" s="145">
        <f t="shared" ref="U39:U48" si="3">S39/O39</f>
        <v>5.6523246429952149E-2</v>
      </c>
    </row>
    <row r="40" spans="1:31">
      <c r="A40" s="150"/>
      <c r="B40" s="141" t="s">
        <v>736</v>
      </c>
      <c r="C40" s="141"/>
      <c r="D40" s="141"/>
      <c r="E40" s="153">
        <v>50000</v>
      </c>
      <c r="F40" s="152"/>
      <c r="G40" s="153">
        <v>50000</v>
      </c>
      <c r="H40" s="153"/>
      <c r="I40" s="153">
        <v>50000</v>
      </c>
      <c r="J40" s="153"/>
      <c r="K40" s="153">
        <v>50000</v>
      </c>
      <c r="L40" s="153"/>
      <c r="M40" s="153" t="e">
        <f>Summary!#REF!</f>
        <v>#REF!</v>
      </c>
      <c r="N40" s="141"/>
      <c r="O40" s="153">
        <v>25000</v>
      </c>
      <c r="P40" s="141"/>
      <c r="Q40" s="401">
        <f>Summary!D55+Summary!D39+Summary!D40</f>
        <v>254338</v>
      </c>
      <c r="R40" s="141"/>
      <c r="S40" s="153">
        <f t="shared" ref="S40:S47" si="4">Q40-O40</f>
        <v>229338</v>
      </c>
      <c r="T40" s="153"/>
      <c r="U40" s="145">
        <f t="shared" si="3"/>
        <v>9.1735199999999999</v>
      </c>
    </row>
    <row r="41" spans="1:31">
      <c r="A41" s="150"/>
      <c r="B41" s="141" t="s">
        <v>311</v>
      </c>
      <c r="C41" s="141"/>
      <c r="D41" s="141"/>
      <c r="E41" s="153">
        <v>3928226</v>
      </c>
      <c r="F41" s="152"/>
      <c r="G41" s="153">
        <v>4233000</v>
      </c>
      <c r="H41" s="153"/>
      <c r="I41" s="153">
        <v>3906089</v>
      </c>
      <c r="J41" s="153"/>
      <c r="K41" s="153">
        <f>3906089</f>
        <v>3906089</v>
      </c>
      <c r="L41" s="153"/>
      <c r="M41" s="153" t="e">
        <f>Summary!#REF!</f>
        <v>#REF!</v>
      </c>
      <c r="N41" s="153"/>
      <c r="O41" s="153">
        <v>6560328.6449999996</v>
      </c>
      <c r="P41" s="141"/>
      <c r="Q41" s="401">
        <f>Summary!D35</f>
        <v>6777138.8700000001</v>
      </c>
      <c r="R41" s="141"/>
      <c r="S41" s="153">
        <f t="shared" si="4"/>
        <v>216810.22500000056</v>
      </c>
      <c r="T41" s="153"/>
      <c r="U41" s="145">
        <f t="shared" si="3"/>
        <v>3.3048683493203349E-2</v>
      </c>
    </row>
    <row r="42" spans="1:31">
      <c r="A42" s="150"/>
      <c r="B42" s="141" t="s">
        <v>312</v>
      </c>
      <c r="C42" s="141"/>
      <c r="D42" s="141"/>
      <c r="E42" s="173">
        <v>991750</v>
      </c>
      <c r="F42" s="152"/>
      <c r="G42" s="173">
        <v>1111338</v>
      </c>
      <c r="H42" s="173"/>
      <c r="I42" s="173">
        <f>35000+362500+247100+59000+345000+110000</f>
        <v>1158600</v>
      </c>
      <c r="J42" s="173"/>
      <c r="K42" s="173">
        <f>35000+362500+247100+59000+345000+110000</f>
        <v>1158600</v>
      </c>
      <c r="L42" s="173"/>
      <c r="M42" s="173" t="e">
        <f>Summary!#REF!-M41-M44</f>
        <v>#REF!</v>
      </c>
      <c r="N42" s="173"/>
      <c r="O42" s="173">
        <v>1507682.0000000002</v>
      </c>
      <c r="P42" s="141"/>
      <c r="Q42" s="401">
        <f>Summary!D34+Summary!D36+Summary!D37+Summary!D41</f>
        <v>1622487.6</v>
      </c>
      <c r="R42" s="141"/>
      <c r="S42" s="153">
        <f t="shared" si="4"/>
        <v>114805.59999999986</v>
      </c>
      <c r="T42" s="153"/>
      <c r="U42" s="145">
        <f t="shared" si="3"/>
        <v>7.6147092026037214E-2</v>
      </c>
      <c r="Y42" s="107"/>
      <c r="AA42" s="107"/>
    </row>
    <row r="43" spans="1:31">
      <c r="A43" s="150"/>
      <c r="B43" s="141" t="s">
        <v>230</v>
      </c>
      <c r="C43" s="141"/>
      <c r="D43" s="141"/>
      <c r="E43" s="173"/>
      <c r="F43" s="152"/>
      <c r="G43" s="173">
        <v>247000</v>
      </c>
      <c r="H43" s="173"/>
      <c r="I43" s="173">
        <v>281500</v>
      </c>
      <c r="J43" s="173"/>
      <c r="K43" s="173">
        <v>281500</v>
      </c>
      <c r="L43" s="173"/>
      <c r="M43" s="173" t="e">
        <f>Summary!#REF!</f>
        <v>#REF!</v>
      </c>
      <c r="N43" s="173"/>
      <c r="O43" s="173">
        <v>364976.35000000003</v>
      </c>
      <c r="P43" s="141"/>
      <c r="Q43" s="401">
        <f>Summary!D46</f>
        <v>393434.14999999997</v>
      </c>
      <c r="R43" s="141"/>
      <c r="S43" s="153">
        <f t="shared" si="4"/>
        <v>28457.79999999993</v>
      </c>
      <c r="T43" s="153"/>
      <c r="U43" s="145">
        <f t="shared" si="3"/>
        <v>7.7971627476684249E-2</v>
      </c>
    </row>
    <row r="44" spans="1:31">
      <c r="A44" s="150"/>
      <c r="B44" s="141" t="s">
        <v>73</v>
      </c>
      <c r="C44" s="141"/>
      <c r="D44" s="141"/>
      <c r="E44" s="173">
        <v>100000</v>
      </c>
      <c r="F44" s="152"/>
      <c r="G44" s="173">
        <v>100000</v>
      </c>
      <c r="H44" s="173"/>
      <c r="I44" s="173">
        <v>100000</v>
      </c>
      <c r="J44" s="173"/>
      <c r="K44" s="173">
        <v>85000</v>
      </c>
      <c r="L44" s="173"/>
      <c r="M44" s="173" t="e">
        <f>Summary!#REF!</f>
        <v>#REF!</v>
      </c>
      <c r="N44" s="173"/>
      <c r="O44" s="173">
        <v>200000</v>
      </c>
      <c r="P44" s="141"/>
      <c r="Q44" s="401">
        <f>Summary!D38</f>
        <v>200000</v>
      </c>
      <c r="R44" s="141"/>
      <c r="S44" s="153">
        <f t="shared" si="4"/>
        <v>0</v>
      </c>
      <c r="T44" s="153"/>
      <c r="U44" s="145">
        <f t="shared" si="3"/>
        <v>0</v>
      </c>
    </row>
    <row r="45" spans="1:31">
      <c r="A45" s="150"/>
      <c r="B45" s="141" t="s">
        <v>205</v>
      </c>
      <c r="C45" s="141"/>
      <c r="D45" s="141"/>
      <c r="E45" s="144">
        <v>3021057</v>
      </c>
      <c r="F45" s="141"/>
      <c r="G45" s="153">
        <v>3141899</v>
      </c>
      <c r="H45" s="154"/>
      <c r="I45" s="153">
        <v>3206926</v>
      </c>
      <c r="J45" s="154"/>
      <c r="K45" s="153">
        <v>3206926</v>
      </c>
      <c r="L45" s="153"/>
      <c r="M45" s="153" t="e">
        <f>Summary!#REF!</f>
        <v>#REF!</v>
      </c>
      <c r="N45" s="153"/>
      <c r="O45" s="153">
        <v>4373317</v>
      </c>
      <c r="P45" s="141"/>
      <c r="Q45" s="401">
        <f>Summary!D48</f>
        <v>4546879</v>
      </c>
      <c r="R45" s="141"/>
      <c r="S45" s="153">
        <f t="shared" si="4"/>
        <v>173562</v>
      </c>
      <c r="T45" s="153"/>
      <c r="U45" s="145">
        <f t="shared" si="3"/>
        <v>3.9686581146530196E-2</v>
      </c>
    </row>
    <row r="46" spans="1:31">
      <c r="A46" s="150"/>
      <c r="B46" s="141" t="s">
        <v>314</v>
      </c>
      <c r="C46" s="141"/>
      <c r="D46" s="141"/>
      <c r="E46" s="144">
        <v>2013028</v>
      </c>
      <c r="F46" s="141"/>
      <c r="G46" s="153">
        <v>1927562</v>
      </c>
      <c r="H46" s="154"/>
      <c r="I46" s="153">
        <v>1971197</v>
      </c>
      <c r="J46" s="154"/>
      <c r="K46" s="153">
        <v>1971197</v>
      </c>
      <c r="L46" s="154"/>
      <c r="M46" s="153" t="e">
        <f>Summary!#REF!</f>
        <v>#REF!</v>
      </c>
      <c r="N46" s="154"/>
      <c r="O46" s="153">
        <v>3826253</v>
      </c>
      <c r="P46" s="141"/>
      <c r="Q46" s="401">
        <f>Summary!D54</f>
        <v>3730898</v>
      </c>
      <c r="R46" s="141"/>
      <c r="S46" s="153">
        <f t="shared" si="4"/>
        <v>-95355</v>
      </c>
      <c r="T46" s="153"/>
      <c r="U46" s="145">
        <f t="shared" si="3"/>
        <v>-2.4921248019929679E-2</v>
      </c>
      <c r="Z46" s="107"/>
      <c r="AB46" s="179"/>
    </row>
    <row r="47" spans="1:31">
      <c r="A47" s="150"/>
      <c r="B47" s="141" t="s">
        <v>520</v>
      </c>
      <c r="C47" s="141"/>
      <c r="D47" s="141"/>
      <c r="E47" s="147">
        <v>188777</v>
      </c>
      <c r="F47" s="141"/>
      <c r="G47" s="155">
        <f>213777+34795</f>
        <v>248572</v>
      </c>
      <c r="H47" s="154"/>
      <c r="I47" s="155">
        <v>210000</v>
      </c>
      <c r="J47" s="154"/>
      <c r="K47" s="154">
        <v>210000</v>
      </c>
      <c r="L47" s="154"/>
      <c r="M47" s="155" t="e">
        <f>Summary!#REF!</f>
        <v>#REF!</v>
      </c>
      <c r="N47" s="154"/>
      <c r="O47" s="155">
        <v>540000</v>
      </c>
      <c r="P47" s="286"/>
      <c r="Q47" s="444">
        <f>Summary!D56</f>
        <v>765000</v>
      </c>
      <c r="R47" s="286"/>
      <c r="S47" s="155">
        <f t="shared" si="4"/>
        <v>225000</v>
      </c>
      <c r="T47" s="155"/>
      <c r="U47" s="148">
        <f t="shared" si="3"/>
        <v>0.41666666666666669</v>
      </c>
      <c r="Z47" s="107"/>
      <c r="AB47" s="179"/>
      <c r="AD47" s="181"/>
      <c r="AE47" s="180"/>
    </row>
    <row r="48" spans="1:31">
      <c r="A48" s="150"/>
      <c r="B48" s="156" t="s">
        <v>316</v>
      </c>
      <c r="C48" s="140"/>
      <c r="D48" s="141"/>
      <c r="E48" s="157">
        <f>SUM(E39:E47)</f>
        <v>19261554</v>
      </c>
      <c r="F48" s="140"/>
      <c r="G48" s="157">
        <f>SUM(G39:G47)</f>
        <v>32606087</v>
      </c>
      <c r="H48" s="160"/>
      <c r="I48" s="157">
        <f>SUM(I39:I47)</f>
        <v>34389450</v>
      </c>
      <c r="J48" s="160"/>
      <c r="K48" s="157">
        <f>SUM(K39:K47)</f>
        <v>33102288</v>
      </c>
      <c r="L48" s="174"/>
      <c r="M48" s="157" t="e">
        <f>SUM(M39:M47)</f>
        <v>#REF!</v>
      </c>
      <c r="N48" s="174"/>
      <c r="O48" s="157">
        <f>SUM(O39:O47)</f>
        <v>47542888.404999994</v>
      </c>
      <c r="P48" s="141"/>
      <c r="Q48" s="157">
        <f>SUM(Q39:Q47)</f>
        <v>50139419.026000001</v>
      </c>
      <c r="R48" s="141"/>
      <c r="S48" s="157">
        <f>SUM(S39:S47)</f>
        <v>2596530.6210000068</v>
      </c>
      <c r="T48" s="174"/>
      <c r="U48" s="175">
        <f t="shared" si="3"/>
        <v>5.4614490370907598E-2</v>
      </c>
      <c r="X48" s="107"/>
      <c r="Z48" s="107"/>
      <c r="AB48" s="179"/>
      <c r="AD48" s="181"/>
      <c r="AE48" s="180"/>
    </row>
    <row r="49" spans="1:28">
      <c r="A49" s="150"/>
      <c r="B49" s="159"/>
      <c r="C49" s="141"/>
      <c r="D49" s="141"/>
      <c r="E49" s="144"/>
      <c r="F49" s="141"/>
      <c r="G49" s="144"/>
      <c r="H49" s="146"/>
      <c r="I49" s="144"/>
      <c r="J49" s="146"/>
      <c r="K49" s="144" t="s">
        <v>0</v>
      </c>
      <c r="L49" s="146"/>
      <c r="M49" s="144" t="s">
        <v>0</v>
      </c>
      <c r="N49" s="146"/>
      <c r="O49" s="141"/>
      <c r="P49" s="141"/>
      <c r="Q49" s="141"/>
      <c r="R49" s="141"/>
      <c r="S49" s="152"/>
      <c r="T49" s="146"/>
      <c r="U49" s="141"/>
      <c r="X49" s="446"/>
      <c r="Z49" s="180"/>
      <c r="AA49" s="180"/>
      <c r="AB49" s="180"/>
    </row>
    <row r="50" spans="1:28">
      <c r="A50" s="150"/>
      <c r="B50" s="151" t="s">
        <v>136</v>
      </c>
      <c r="C50" s="151"/>
      <c r="D50" s="159"/>
      <c r="E50" s="144"/>
      <c r="F50" s="141"/>
      <c r="G50" s="144"/>
      <c r="H50" s="146"/>
      <c r="I50" s="144"/>
      <c r="J50" s="146"/>
      <c r="K50" s="144"/>
      <c r="L50" s="146"/>
      <c r="M50" s="144"/>
      <c r="N50" s="146"/>
      <c r="O50" s="141"/>
      <c r="P50" s="141"/>
      <c r="Q50" s="141"/>
      <c r="R50" s="141"/>
      <c r="S50" s="152"/>
      <c r="T50" s="146"/>
      <c r="U50" s="141"/>
    </row>
    <row r="51" spans="1:28">
      <c r="A51" s="150"/>
      <c r="B51" s="141" t="s">
        <v>319</v>
      </c>
      <c r="C51" s="141"/>
      <c r="D51" s="141"/>
      <c r="E51" s="144">
        <v>324544.32</v>
      </c>
      <c r="F51" s="141"/>
      <c r="G51" s="144">
        <v>325297</v>
      </c>
      <c r="H51" s="146"/>
      <c r="I51" s="144">
        <v>325000</v>
      </c>
      <c r="J51" s="146"/>
      <c r="K51" s="144">
        <v>325000</v>
      </c>
      <c r="L51" s="146"/>
      <c r="M51" s="144">
        <v>350000</v>
      </c>
      <c r="N51" s="146"/>
      <c r="O51" s="153">
        <v>395000</v>
      </c>
      <c r="P51" s="141"/>
      <c r="Q51" s="144">
        <v>395000</v>
      </c>
      <c r="R51" s="141"/>
      <c r="S51" s="153">
        <f>Q51-O51</f>
        <v>0</v>
      </c>
      <c r="T51" s="153"/>
      <c r="U51" s="145">
        <f>S51/O51</f>
        <v>0</v>
      </c>
    </row>
    <row r="52" spans="1:28">
      <c r="A52" s="150"/>
      <c r="B52" s="141" t="s">
        <v>293</v>
      </c>
      <c r="C52" s="141"/>
      <c r="D52" s="141"/>
      <c r="E52" s="144"/>
      <c r="F52" s="141"/>
      <c r="G52" s="144"/>
      <c r="H52" s="146"/>
      <c r="I52" s="144"/>
      <c r="J52" s="146"/>
      <c r="K52" s="144"/>
      <c r="L52" s="146"/>
      <c r="M52" s="144"/>
      <c r="N52" s="146"/>
      <c r="O52" s="153">
        <v>0</v>
      </c>
      <c r="P52" s="141"/>
      <c r="Q52" s="144">
        <v>0</v>
      </c>
      <c r="R52" s="141"/>
      <c r="S52" s="153">
        <f>Q52-O52</f>
        <v>0</v>
      </c>
      <c r="T52" s="153"/>
      <c r="U52" s="440" t="s">
        <v>372</v>
      </c>
    </row>
    <row r="53" spans="1:28">
      <c r="A53" s="150"/>
      <c r="B53" s="141" t="s">
        <v>465</v>
      </c>
      <c r="C53" s="141"/>
      <c r="D53" s="141"/>
      <c r="E53" s="147">
        <v>87697</v>
      </c>
      <c r="F53" s="141"/>
      <c r="G53" s="147">
        <v>232651</v>
      </c>
      <c r="H53" s="146"/>
      <c r="I53" s="147">
        <v>175000</v>
      </c>
      <c r="J53" s="146"/>
      <c r="K53" s="147">
        <v>0</v>
      </c>
      <c r="L53" s="146"/>
      <c r="M53" s="147">
        <v>0</v>
      </c>
      <c r="N53" s="146"/>
      <c r="O53" s="155">
        <v>250000</v>
      </c>
      <c r="P53" s="141"/>
      <c r="Q53" s="147">
        <f>300000-50000-50000</f>
        <v>200000</v>
      </c>
      <c r="R53" s="141"/>
      <c r="S53" s="155">
        <f>Q53-O53</f>
        <v>-50000</v>
      </c>
      <c r="T53" s="153"/>
      <c r="U53" s="148">
        <f>S53/O53</f>
        <v>-0.2</v>
      </c>
    </row>
    <row r="54" spans="1:28">
      <c r="A54" s="150"/>
      <c r="B54" s="156" t="s">
        <v>321</v>
      </c>
      <c r="C54" s="140"/>
      <c r="D54" s="141"/>
      <c r="E54" s="160">
        <f>SUM(E51:E51)</f>
        <v>324544.32</v>
      </c>
      <c r="F54" s="140"/>
      <c r="G54" s="157">
        <f>SUM(G51:G51)</f>
        <v>325297</v>
      </c>
      <c r="H54" s="160"/>
      <c r="I54" s="157">
        <f>SUM(I51:I51)</f>
        <v>325000</v>
      </c>
      <c r="J54" s="160"/>
      <c r="K54" s="157">
        <f>SUM(K51:K53)</f>
        <v>325000</v>
      </c>
      <c r="L54" s="174"/>
      <c r="M54" s="157">
        <f>SUM(M51:M53)</f>
        <v>350000</v>
      </c>
      <c r="N54" s="174"/>
      <c r="O54" s="157">
        <f>SUM(O51:O53)</f>
        <v>645000</v>
      </c>
      <c r="P54" s="141"/>
      <c r="Q54" s="157">
        <f>SUM(Q51:Q53)</f>
        <v>595000</v>
      </c>
      <c r="R54" s="141"/>
      <c r="S54" s="157">
        <f>SUM(S51:S53)</f>
        <v>-50000</v>
      </c>
      <c r="T54" s="164"/>
      <c r="U54" s="183">
        <f>S54/O54</f>
        <v>-7.7519379844961239E-2</v>
      </c>
    </row>
    <row r="55" spans="1:28">
      <c r="A55" s="150"/>
      <c r="B55" s="159"/>
      <c r="C55" s="141"/>
      <c r="D55" s="141"/>
      <c r="E55" s="144"/>
      <c r="F55" s="141"/>
      <c r="G55" s="144"/>
      <c r="H55" s="146"/>
      <c r="I55" s="144"/>
      <c r="J55" s="146"/>
      <c r="K55" s="144"/>
      <c r="L55" s="146"/>
      <c r="M55" s="144"/>
      <c r="N55" s="146"/>
      <c r="O55" s="141"/>
      <c r="P55" s="141"/>
      <c r="Q55" s="141"/>
      <c r="R55" s="141"/>
      <c r="S55" s="152"/>
      <c r="T55" s="146"/>
      <c r="U55" s="141"/>
    </row>
    <row r="56" spans="1:28">
      <c r="A56" s="150"/>
      <c r="B56" s="151" t="s">
        <v>322</v>
      </c>
      <c r="C56" s="143"/>
      <c r="D56" s="141"/>
      <c r="E56" s="144"/>
      <c r="F56" s="141"/>
      <c r="G56" s="144"/>
      <c r="H56" s="146"/>
      <c r="I56" s="144"/>
      <c r="J56" s="146"/>
      <c r="K56" s="144"/>
      <c r="L56" s="146"/>
      <c r="M56" s="144"/>
      <c r="N56" s="146"/>
      <c r="O56" s="141"/>
      <c r="P56" s="141"/>
      <c r="Q56" s="141"/>
      <c r="R56" s="141"/>
      <c r="S56" s="152"/>
      <c r="T56" s="146"/>
      <c r="U56" s="141"/>
    </row>
    <row r="57" spans="1:28">
      <c r="A57" s="150"/>
      <c r="B57" s="141" t="s">
        <v>762</v>
      </c>
      <c r="C57" s="141"/>
      <c r="D57" s="141"/>
      <c r="E57" s="146">
        <f>36153+48085+225200</f>
        <v>309438</v>
      </c>
      <c r="F57" s="141"/>
      <c r="G57" s="144">
        <v>318155</v>
      </c>
      <c r="H57" s="146"/>
      <c r="I57" s="144">
        <f>+G57*1.02</f>
        <v>324518.09999999998</v>
      </c>
      <c r="J57" s="146"/>
      <c r="K57" s="144">
        <v>309396</v>
      </c>
      <c r="L57" s="146"/>
      <c r="M57" s="144">
        <f>695433-378295</f>
        <v>317138</v>
      </c>
      <c r="N57" s="146"/>
      <c r="O57" s="153">
        <f>857176-502858</f>
        <v>354318</v>
      </c>
      <c r="P57" s="141"/>
      <c r="Q57" s="153">
        <f>876652-510575</f>
        <v>366077</v>
      </c>
      <c r="R57" s="141"/>
      <c r="S57" s="153">
        <f>Q57-O57</f>
        <v>11759</v>
      </c>
      <c r="T57" s="153"/>
      <c r="U57" s="145">
        <f>S57/O57</f>
        <v>3.3187701443336215E-2</v>
      </c>
    </row>
    <row r="58" spans="1:28">
      <c r="A58" s="150"/>
      <c r="B58" s="141" t="s">
        <v>761</v>
      </c>
      <c r="C58" s="141"/>
      <c r="D58" s="141"/>
      <c r="E58" s="147">
        <v>451680</v>
      </c>
      <c r="F58" s="141"/>
      <c r="G58" s="147">
        <v>409761</v>
      </c>
      <c r="H58" s="146"/>
      <c r="I58" s="147">
        <f>+G58*1.02</f>
        <v>417956.22000000003</v>
      </c>
      <c r="J58" s="146"/>
      <c r="K58" s="146">
        <v>307914</v>
      </c>
      <c r="L58" s="146"/>
      <c r="M58" s="146">
        <v>340350</v>
      </c>
      <c r="N58" s="146"/>
      <c r="O58" s="154">
        <v>502858</v>
      </c>
      <c r="P58" s="141"/>
      <c r="Q58" s="153">
        <v>510575</v>
      </c>
      <c r="R58" s="141"/>
      <c r="S58" s="153">
        <f>Q58-O58</f>
        <v>7717</v>
      </c>
      <c r="T58" s="153"/>
      <c r="U58" s="145">
        <f>S58/O58</f>
        <v>1.5346280659748876E-2</v>
      </c>
    </row>
    <row r="59" spans="1:28" ht="15.75" thickBot="1">
      <c r="A59" s="150"/>
      <c r="B59" s="141" t="s">
        <v>325</v>
      </c>
      <c r="C59" s="141"/>
      <c r="D59" s="141"/>
      <c r="E59" s="146"/>
      <c r="F59" s="141"/>
      <c r="G59" s="146"/>
      <c r="H59" s="146"/>
      <c r="I59" s="146"/>
      <c r="J59" s="146"/>
      <c r="K59" s="147">
        <v>275000</v>
      </c>
      <c r="L59" s="146"/>
      <c r="M59" s="147">
        <v>377775</v>
      </c>
      <c r="N59" s="146"/>
      <c r="O59" s="147">
        <v>556500</v>
      </c>
      <c r="P59" s="141"/>
      <c r="Q59" s="155">
        <f t="shared" ref="Q59" si="5">+O59*1.05</f>
        <v>584325</v>
      </c>
      <c r="R59" s="141"/>
      <c r="S59" s="248">
        <f>Q59-O59</f>
        <v>27825</v>
      </c>
      <c r="T59" s="153"/>
      <c r="U59" s="148">
        <f>S59/O59</f>
        <v>0.05</v>
      </c>
      <c r="Y59" s="215"/>
      <c r="Z59" s="215"/>
    </row>
    <row r="60" spans="1:28">
      <c r="A60" s="150"/>
      <c r="B60" s="156" t="s">
        <v>326</v>
      </c>
      <c r="C60" s="140"/>
      <c r="D60" s="141"/>
      <c r="E60" s="160">
        <f>SUM(E57:E58)</f>
        <v>761118</v>
      </c>
      <c r="F60" s="140"/>
      <c r="G60" s="157">
        <f>SUM(G57:G58)</f>
        <v>727916</v>
      </c>
      <c r="H60" s="160"/>
      <c r="I60" s="157">
        <f>SUM(I57:I58)</f>
        <v>742474.32000000007</v>
      </c>
      <c r="J60" s="160"/>
      <c r="K60" s="157">
        <f>SUM(K57:K59)</f>
        <v>892310</v>
      </c>
      <c r="L60" s="174"/>
      <c r="M60" s="157">
        <f>SUM(M57:M59)</f>
        <v>1035263</v>
      </c>
      <c r="N60" s="174"/>
      <c r="O60" s="157">
        <f>SUM(O57:O59)</f>
        <v>1413676</v>
      </c>
      <c r="P60" s="141"/>
      <c r="Q60" s="157">
        <f>SUM(Q57:Q59)</f>
        <v>1460977</v>
      </c>
      <c r="R60" s="141"/>
      <c r="S60" s="157">
        <f>SUM(S57:S59)</f>
        <v>47301</v>
      </c>
      <c r="T60" s="164"/>
      <c r="U60" s="183">
        <f>S60/O60</f>
        <v>3.3459576310271945E-2</v>
      </c>
      <c r="Y60" s="215"/>
      <c r="Z60" s="215"/>
    </row>
    <row r="61" spans="1:28">
      <c r="A61" s="141"/>
      <c r="B61" s="141"/>
      <c r="C61" s="141"/>
      <c r="D61" s="141"/>
      <c r="E61" s="144"/>
      <c r="F61" s="141"/>
      <c r="G61" s="144"/>
      <c r="H61" s="144"/>
      <c r="I61" s="144"/>
      <c r="J61" s="144"/>
      <c r="K61" s="144"/>
      <c r="L61" s="146"/>
      <c r="M61" s="144"/>
      <c r="N61" s="146"/>
      <c r="O61" s="144"/>
      <c r="P61" s="141"/>
      <c r="Q61" s="144"/>
      <c r="R61" s="141"/>
      <c r="S61" s="152"/>
      <c r="T61" s="146"/>
      <c r="U61" s="141"/>
      <c r="X61" s="215"/>
      <c r="Y61" s="215"/>
      <c r="Z61" s="215"/>
    </row>
    <row r="62" spans="1:28" ht="15.75" thickBot="1">
      <c r="A62" s="150"/>
      <c r="B62" s="156" t="s">
        <v>327</v>
      </c>
      <c r="C62" s="156"/>
      <c r="D62" s="159"/>
      <c r="E62" s="161" t="e">
        <f>+E48+#REF!+E54+E60</f>
        <v>#REF!</v>
      </c>
      <c r="F62" s="140"/>
      <c r="G62" s="161" t="e">
        <f>+G48+#REF!+G54+G60</f>
        <v>#REF!</v>
      </c>
      <c r="H62" s="140"/>
      <c r="I62" s="161" t="e">
        <f>+I48+#REF!+I54+I60</f>
        <v>#REF!</v>
      </c>
      <c r="J62" s="140"/>
      <c r="K62" s="161" t="e">
        <f>+K48+#REF!+K54+K60</f>
        <v>#REF!</v>
      </c>
      <c r="L62" s="141"/>
      <c r="M62" s="161" t="e">
        <f>M60+M54+M48</f>
        <v>#REF!</v>
      </c>
      <c r="N62" s="141"/>
      <c r="O62" s="161">
        <f>O60+O54+O48</f>
        <v>49601564.404999994</v>
      </c>
      <c r="P62" s="141"/>
      <c r="Q62" s="161">
        <f>Q60+Q54+Q48</f>
        <v>52195396.026000001</v>
      </c>
      <c r="R62" s="141"/>
      <c r="S62" s="161">
        <f>Q62-O62</f>
        <v>2593831.6210000068</v>
      </c>
      <c r="T62" s="141"/>
      <c r="U62" s="162">
        <f>S62/O62</f>
        <v>5.2293343004692419E-2</v>
      </c>
    </row>
    <row r="63" spans="1:28" ht="15.75" thickTop="1">
      <c r="A63" s="150"/>
      <c r="B63" s="159"/>
      <c r="C63" s="159"/>
      <c r="D63" s="159"/>
      <c r="E63" s="144"/>
      <c r="F63" s="141"/>
      <c r="G63" s="153"/>
      <c r="H63" s="141"/>
      <c r="I63" s="153"/>
      <c r="J63" s="141"/>
      <c r="K63" s="153"/>
      <c r="L63" s="141"/>
      <c r="M63" s="153"/>
      <c r="N63" s="141"/>
      <c r="O63" s="153"/>
      <c r="P63" s="141"/>
      <c r="Q63" s="153"/>
      <c r="R63" s="141"/>
      <c r="S63" s="152"/>
      <c r="T63" s="141"/>
      <c r="U63" s="141"/>
    </row>
    <row r="64" spans="1:28" ht="15.75" thickBot="1">
      <c r="A64" s="150"/>
      <c r="B64" s="166" t="s">
        <v>328</v>
      </c>
      <c r="C64" s="167"/>
      <c r="D64" s="159"/>
      <c r="E64" s="161" t="e">
        <f>+E30-E62</f>
        <v>#REF!</v>
      </c>
      <c r="F64" s="140"/>
      <c r="G64" s="161" t="e">
        <f>+G30-G62</f>
        <v>#REF!</v>
      </c>
      <c r="H64" s="160"/>
      <c r="I64" s="161" t="e">
        <f>+I30-I62</f>
        <v>#REF!</v>
      </c>
      <c r="J64" s="160"/>
      <c r="K64" s="161" t="e">
        <f>+K30-K62</f>
        <v>#REF!</v>
      </c>
      <c r="L64" s="174"/>
      <c r="M64" s="161" t="e">
        <f>+M30-M62+0.49</f>
        <v>#REF!</v>
      </c>
      <c r="N64" s="174"/>
      <c r="O64" s="161">
        <f>+O30-O62</f>
        <v>0.2200000062584877</v>
      </c>
      <c r="P64" s="141"/>
      <c r="Q64" s="161">
        <f>+Q30-Q62</f>
        <v>0.33962500095367432</v>
      </c>
      <c r="R64" s="141"/>
      <c r="S64" s="161">
        <f>+S30-S62</f>
        <v>0.11962499329820275</v>
      </c>
      <c r="T64" s="174"/>
      <c r="U64" s="145"/>
    </row>
    <row r="65" spans="1:21" ht="15.75" thickTop="1">
      <c r="A65" s="176"/>
      <c r="B65" s="177"/>
      <c r="C65" s="178"/>
      <c r="D65" s="178"/>
      <c r="E65" s="177"/>
      <c r="F65" s="178"/>
      <c r="G65" s="152"/>
      <c r="H65" s="152"/>
      <c r="I65" s="152"/>
      <c r="J65" s="152"/>
      <c r="K65" s="152"/>
      <c r="L65" s="152"/>
      <c r="M65" s="178"/>
      <c r="N65" s="152"/>
      <c r="O65" s="152"/>
      <c r="P65" s="152"/>
      <c r="Q65" s="152"/>
      <c r="R65" s="152"/>
      <c r="S65" s="178"/>
      <c r="T65" s="178"/>
      <c r="U65" s="178"/>
    </row>
    <row r="66" spans="1:21" ht="15.75">
      <c r="A66" s="479" t="s">
        <v>272</v>
      </c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</row>
    <row r="67" spans="1:21" ht="16.5" thickBot="1">
      <c r="A67" s="478" t="str">
        <f>+A1</f>
        <v>Fiscal Year 2025 Projected Revenue and Expenditures</v>
      </c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478"/>
      <c r="U67" s="478"/>
    </row>
    <row r="68" spans="1:21">
      <c r="A68" s="105"/>
      <c r="B68" s="107"/>
      <c r="G68" s="100"/>
      <c r="H68" s="100"/>
      <c r="I68" s="100"/>
      <c r="J68" s="100"/>
      <c r="K68" s="100"/>
      <c r="L68" s="91"/>
    </row>
    <row r="69" spans="1:21">
      <c r="A69" s="98"/>
      <c r="B69" s="116" t="s">
        <v>273</v>
      </c>
      <c r="C69" s="117"/>
      <c r="D69" s="101"/>
      <c r="E69" s="118" t="s">
        <v>92</v>
      </c>
      <c r="F69" s="119"/>
      <c r="G69" s="118" t="s">
        <v>274</v>
      </c>
      <c r="H69" s="120"/>
      <c r="I69" s="118" t="s">
        <v>275</v>
      </c>
      <c r="J69" s="120"/>
      <c r="K69" s="118" t="s">
        <v>238</v>
      </c>
      <c r="L69" s="101"/>
      <c r="M69" s="118" t="s">
        <v>263</v>
      </c>
      <c r="O69" s="118" t="s">
        <v>620</v>
      </c>
      <c r="P69" s="101"/>
      <c r="Q69" s="118" t="s">
        <v>621</v>
      </c>
      <c r="R69" s="101"/>
      <c r="S69" s="121" t="s">
        <v>277</v>
      </c>
      <c r="T69" s="101"/>
      <c r="U69" s="121" t="s">
        <v>278</v>
      </c>
    </row>
    <row r="70" spans="1:21">
      <c r="A70" s="105"/>
      <c r="B70" s="114"/>
      <c r="L70" s="91"/>
      <c r="M70" s="108"/>
      <c r="O70" s="108"/>
      <c r="Q70" s="108"/>
      <c r="U70" s="100"/>
    </row>
    <row r="71" spans="1:21">
      <c r="A71" s="98"/>
      <c r="B71" s="106" t="s">
        <v>285</v>
      </c>
      <c r="G71" s="114">
        <f>$G$13</f>
        <v>23862083</v>
      </c>
      <c r="H71" s="114"/>
      <c r="I71" s="114"/>
      <c r="J71" s="114"/>
      <c r="K71" s="114">
        <f>$K$13</f>
        <v>24543403.425000001</v>
      </c>
      <c r="L71" s="91"/>
      <c r="M71" s="114">
        <f>$M$13</f>
        <v>25991193</v>
      </c>
      <c r="O71" s="114">
        <f>$O$13</f>
        <v>36243933.625</v>
      </c>
      <c r="Q71" s="114">
        <f>$Q$13</f>
        <v>37539273.365625001</v>
      </c>
      <c r="S71" s="114">
        <f>$S$13</f>
        <v>1295339.7406250001</v>
      </c>
      <c r="U71" s="122">
        <f>$U$13</f>
        <v>3.5739491028410689E-2</v>
      </c>
    </row>
    <row r="72" spans="1:21">
      <c r="A72" s="105"/>
      <c r="B72" s="107"/>
      <c r="G72" s="114"/>
      <c r="H72" s="114"/>
      <c r="I72" s="114"/>
      <c r="J72" s="114"/>
      <c r="K72" s="114"/>
      <c r="L72" s="91"/>
      <c r="M72" s="114"/>
      <c r="O72" s="114"/>
      <c r="Q72" s="114"/>
      <c r="S72" s="106"/>
      <c r="U72" s="106"/>
    </row>
    <row r="73" spans="1:21">
      <c r="A73" s="98"/>
      <c r="B73" s="106" t="s">
        <v>288</v>
      </c>
      <c r="G73" s="114">
        <f>$G$18</f>
        <v>5681714</v>
      </c>
      <c r="H73" s="114"/>
      <c r="I73" s="114"/>
      <c r="J73" s="114"/>
      <c r="K73" s="114">
        <f>$K$18</f>
        <v>5861590</v>
      </c>
      <c r="L73" s="91"/>
      <c r="M73" s="114">
        <f>$M$18</f>
        <v>6088369</v>
      </c>
      <c r="O73" s="114">
        <f>$O$18</f>
        <v>6885955</v>
      </c>
      <c r="Q73" s="114">
        <f>$Q$18</f>
        <v>6957349</v>
      </c>
      <c r="S73" s="114">
        <f>$S$18</f>
        <v>71394</v>
      </c>
      <c r="U73" s="122">
        <f>$U$18</f>
        <v>1.0368060784597052E-2</v>
      </c>
    </row>
    <row r="74" spans="1:21">
      <c r="A74" s="105"/>
      <c r="B74" s="107"/>
      <c r="G74" s="114"/>
      <c r="H74" s="114"/>
      <c r="I74" s="114"/>
      <c r="J74" s="114"/>
      <c r="K74" s="114"/>
      <c r="L74" s="91"/>
      <c r="M74" s="114"/>
      <c r="O74" s="114"/>
      <c r="Q74" s="114"/>
      <c r="S74" s="106"/>
      <c r="U74" s="106"/>
    </row>
    <row r="75" spans="1:21">
      <c r="A75" s="98"/>
      <c r="B75" s="106" t="s">
        <v>297</v>
      </c>
      <c r="G75" s="114" t="e">
        <f>$G$28</f>
        <v>#REF!</v>
      </c>
      <c r="H75" s="114"/>
      <c r="I75" s="114"/>
      <c r="J75" s="114"/>
      <c r="K75" s="114">
        <f>$K$28</f>
        <v>3905145</v>
      </c>
      <c r="L75" s="91"/>
      <c r="M75" s="123">
        <f>$M$28</f>
        <v>4646487</v>
      </c>
      <c r="O75" s="123">
        <f>$O$28</f>
        <v>6471676</v>
      </c>
      <c r="Q75" s="123">
        <f>$Q$28</f>
        <v>7698774</v>
      </c>
      <c r="S75" s="123">
        <f>$S$28</f>
        <v>1227098</v>
      </c>
      <c r="U75" s="124">
        <f>$U$28</f>
        <v>0.18961054292582014</v>
      </c>
    </row>
    <row r="76" spans="1:21">
      <c r="A76" s="105"/>
      <c r="B76" s="107"/>
      <c r="G76" s="114"/>
      <c r="H76" s="114"/>
      <c r="I76" s="114"/>
      <c r="J76" s="114"/>
      <c r="K76" s="114"/>
      <c r="L76" s="91"/>
      <c r="M76" s="114"/>
      <c r="O76" s="114"/>
      <c r="Q76" s="114"/>
      <c r="S76" s="106"/>
      <c r="U76" s="106"/>
    </row>
    <row r="77" spans="1:21" ht="15.75" thickBot="1">
      <c r="A77" s="98"/>
      <c r="B77" s="109" t="s">
        <v>304</v>
      </c>
      <c r="C77" s="109"/>
      <c r="E77" s="125"/>
      <c r="F77" s="102"/>
      <c r="G77" s="112" t="e">
        <f>$G$30</f>
        <v>#REF!</v>
      </c>
      <c r="H77" s="110"/>
      <c r="I77" s="110"/>
      <c r="J77" s="110"/>
      <c r="K77" s="112">
        <f>SUM(K71:K76)</f>
        <v>34310138.424999997</v>
      </c>
      <c r="L77" s="91"/>
      <c r="M77" s="112">
        <f>SUM(M71:M76)</f>
        <v>36726049</v>
      </c>
      <c r="O77" s="112">
        <f>SUM(O71:O76)</f>
        <v>49601564.625</v>
      </c>
      <c r="Q77" s="112">
        <f>SUM(Q71:Q76)</f>
        <v>52195396.365625001</v>
      </c>
      <c r="S77" s="112">
        <f>$S$30</f>
        <v>2593831.7406250001</v>
      </c>
      <c r="U77" s="126">
        <f>$U$30</f>
        <v>5.2293345184471589E-2</v>
      </c>
    </row>
    <row r="78" spans="1:21" ht="15.75" thickTop="1">
      <c r="A78" s="105"/>
      <c r="B78" s="107"/>
      <c r="L78" s="91"/>
      <c r="O78" s="91"/>
      <c r="S78" s="100"/>
    </row>
    <row r="79" spans="1:21">
      <c r="A79" s="105"/>
      <c r="B79" s="107"/>
      <c r="L79" s="91"/>
      <c r="O79" s="91"/>
      <c r="S79" s="100"/>
    </row>
    <row r="80" spans="1:21">
      <c r="A80" s="98"/>
      <c r="B80" s="116" t="s">
        <v>309</v>
      </c>
      <c r="C80" s="117"/>
      <c r="D80" s="101"/>
      <c r="E80" s="118" t="s">
        <v>92</v>
      </c>
      <c r="F80" s="119"/>
      <c r="G80" s="118" t="s">
        <v>234</v>
      </c>
      <c r="H80" s="120"/>
      <c r="I80" s="118" t="s">
        <v>238</v>
      </c>
      <c r="J80" s="120"/>
      <c r="K80" s="118" t="s">
        <v>238</v>
      </c>
      <c r="L80" s="101"/>
      <c r="M80" s="118" t="s">
        <v>263</v>
      </c>
      <c r="O80" s="118" t="str">
        <f>+O69</f>
        <v>FY24</v>
      </c>
      <c r="P80" s="101"/>
      <c r="Q80" s="118" t="str">
        <f>+Q69</f>
        <v>FY25</v>
      </c>
      <c r="R80" s="101"/>
      <c r="S80" s="121" t="s">
        <v>277</v>
      </c>
      <c r="T80" s="101"/>
      <c r="U80" s="121" t="s">
        <v>278</v>
      </c>
    </row>
    <row r="81" spans="1:21">
      <c r="A81" s="105"/>
      <c r="B81" s="107"/>
      <c r="L81" s="91"/>
      <c r="M81" s="108"/>
      <c r="O81" s="108"/>
      <c r="Q81" s="108"/>
      <c r="U81" s="100"/>
    </row>
    <row r="82" spans="1:21">
      <c r="A82" s="98"/>
      <c r="B82" s="106" t="s">
        <v>316</v>
      </c>
      <c r="C82" s="106"/>
      <c r="D82" s="106"/>
      <c r="E82" s="114">
        <f>SUM(E75:E81)</f>
        <v>0</v>
      </c>
      <c r="F82" s="106"/>
      <c r="G82" s="114">
        <f>$G$48</f>
        <v>32606087</v>
      </c>
      <c r="H82" s="115"/>
      <c r="I82" s="114">
        <f>SUM(I75:I81)</f>
        <v>0</v>
      </c>
      <c r="J82" s="115"/>
      <c r="K82" s="114">
        <f>$K$48</f>
        <v>33102288</v>
      </c>
      <c r="L82" s="106"/>
      <c r="M82" s="114" t="e">
        <f>$M$48</f>
        <v>#REF!</v>
      </c>
      <c r="O82" s="114">
        <f>$O$48</f>
        <v>47542888.404999994</v>
      </c>
      <c r="P82" s="106"/>
      <c r="Q82" s="114">
        <f>$Q$48</f>
        <v>50139419.026000001</v>
      </c>
      <c r="R82" s="106"/>
      <c r="S82" s="114">
        <f>$S$48</f>
        <v>2596530.6210000068</v>
      </c>
      <c r="T82" s="106"/>
      <c r="U82" s="127">
        <f>$U$48</f>
        <v>5.4614490370907598E-2</v>
      </c>
    </row>
    <row r="83" spans="1:21">
      <c r="A83" s="105"/>
      <c r="B83" s="114"/>
      <c r="C83" s="106"/>
      <c r="D83" s="106"/>
      <c r="E83" s="114"/>
      <c r="F83" s="106"/>
      <c r="G83" s="114"/>
      <c r="H83" s="114"/>
      <c r="I83" s="114"/>
      <c r="J83" s="114"/>
      <c r="K83" s="114"/>
      <c r="L83" s="106"/>
      <c r="M83" s="114"/>
      <c r="O83" s="114"/>
      <c r="P83" s="106"/>
      <c r="Q83" s="114"/>
      <c r="R83" s="106"/>
      <c r="S83" s="106"/>
      <c r="T83" s="106"/>
      <c r="U83" s="106"/>
    </row>
    <row r="84" spans="1:21">
      <c r="A84" s="98"/>
      <c r="B84" s="106" t="s">
        <v>321</v>
      </c>
      <c r="C84" s="106"/>
      <c r="D84" s="106"/>
      <c r="E84" s="115">
        <f>SUM(E82:E83)</f>
        <v>0</v>
      </c>
      <c r="F84" s="106"/>
      <c r="G84" s="114">
        <f>$G$54</f>
        <v>325297</v>
      </c>
      <c r="H84" s="115"/>
      <c r="I84" s="114">
        <f>SUM(I77:I83)</f>
        <v>0</v>
      </c>
      <c r="J84" s="115"/>
      <c r="K84" s="114">
        <f>$K$54</f>
        <v>325000</v>
      </c>
      <c r="L84" s="106"/>
      <c r="M84" s="114">
        <f>$M$54</f>
        <v>350000</v>
      </c>
      <c r="O84" s="114">
        <f>$O$54</f>
        <v>645000</v>
      </c>
      <c r="P84" s="106"/>
      <c r="Q84" s="114">
        <f>$Q$54</f>
        <v>595000</v>
      </c>
      <c r="R84" s="106"/>
      <c r="S84" s="114">
        <f>$S$54</f>
        <v>-50000</v>
      </c>
      <c r="T84" s="106"/>
      <c r="U84" s="127">
        <f>$U$54</f>
        <v>-7.7519379844961239E-2</v>
      </c>
    </row>
    <row r="85" spans="1:21">
      <c r="B85" s="106"/>
      <c r="C85" s="106"/>
      <c r="D85" s="106"/>
      <c r="E85" s="114"/>
      <c r="F85" s="106"/>
      <c r="G85" s="114"/>
      <c r="H85" s="114"/>
      <c r="I85" s="114"/>
      <c r="J85" s="114"/>
      <c r="K85" s="114"/>
      <c r="L85" s="106"/>
      <c r="M85" s="114"/>
      <c r="O85" s="114"/>
      <c r="P85" s="106"/>
      <c r="Q85" s="114"/>
      <c r="R85" s="106"/>
      <c r="S85" s="106"/>
      <c r="T85" s="106"/>
      <c r="U85" s="106"/>
    </row>
    <row r="86" spans="1:21">
      <c r="A86" s="98"/>
      <c r="B86" s="106" t="s">
        <v>326</v>
      </c>
      <c r="C86" s="106"/>
      <c r="D86" s="106"/>
      <c r="E86" s="115" t="e">
        <f>SUM(#REF!)</f>
        <v>#REF!</v>
      </c>
      <c r="F86" s="106"/>
      <c r="G86" s="123">
        <f>$G$60</f>
        <v>727916</v>
      </c>
      <c r="H86" s="115"/>
      <c r="I86" s="114">
        <f>SUM(I77:I83)</f>
        <v>0</v>
      </c>
      <c r="J86" s="115"/>
      <c r="K86" s="123">
        <f>$K$60</f>
        <v>892310</v>
      </c>
      <c r="L86" s="106"/>
      <c r="M86" s="123">
        <f>$M$60</f>
        <v>1035263</v>
      </c>
      <c r="O86" s="123">
        <f>$O$60</f>
        <v>1413676</v>
      </c>
      <c r="P86" s="106"/>
      <c r="Q86" s="123">
        <f>$Q$60</f>
        <v>1460977</v>
      </c>
      <c r="R86" s="106"/>
      <c r="S86" s="123">
        <f>$S$60</f>
        <v>47301</v>
      </c>
      <c r="T86" s="106"/>
      <c r="U86" s="128">
        <f>$U$60</f>
        <v>3.3459576310271945E-2</v>
      </c>
    </row>
    <row r="87" spans="1:21">
      <c r="B87" s="106"/>
      <c r="C87" s="106"/>
      <c r="D87" s="106"/>
      <c r="E87" s="114"/>
      <c r="F87" s="106"/>
      <c r="G87" s="114"/>
      <c r="H87" s="114"/>
      <c r="I87" s="114"/>
      <c r="J87" s="114"/>
      <c r="K87" s="114"/>
      <c r="L87" s="106"/>
      <c r="M87" s="114"/>
      <c r="O87" s="114"/>
      <c r="P87" s="106"/>
      <c r="Q87" s="114"/>
      <c r="R87" s="106"/>
      <c r="S87" s="106"/>
      <c r="T87" s="106"/>
      <c r="U87" s="106"/>
    </row>
    <row r="88" spans="1:21" ht="15.75" thickBot="1">
      <c r="A88" s="98"/>
      <c r="B88" s="109" t="s">
        <v>327</v>
      </c>
      <c r="C88" s="109"/>
      <c r="D88" s="106"/>
      <c r="E88" s="112" t="e">
        <f>+E71+#REF!+E81+E86</f>
        <v>#REF!</v>
      </c>
      <c r="F88" s="109"/>
      <c r="G88" s="112" t="e">
        <f>$G$62</f>
        <v>#REF!</v>
      </c>
      <c r="H88" s="111"/>
      <c r="I88" s="110">
        <f>SUM(I79:I87)</f>
        <v>0</v>
      </c>
      <c r="J88" s="111"/>
      <c r="K88" s="112">
        <f>SUM(K82:K87)</f>
        <v>34319598</v>
      </c>
      <c r="L88" s="106"/>
      <c r="M88" s="112" t="e">
        <f>SUM(M82:M87)</f>
        <v>#REF!</v>
      </c>
      <c r="O88" s="112">
        <f>SUM(O82:O87)</f>
        <v>49601564.404999994</v>
      </c>
      <c r="P88" s="106"/>
      <c r="Q88" s="112">
        <f>SUM(Q82:Q87)</f>
        <v>52195396.026000001</v>
      </c>
      <c r="R88" s="106"/>
      <c r="S88" s="112">
        <f>$S$62</f>
        <v>2593831.6210000068</v>
      </c>
      <c r="T88" s="106"/>
      <c r="U88" s="113">
        <f>$U$62</f>
        <v>5.2293343004692419E-2</v>
      </c>
    </row>
    <row r="89" spans="1:21" ht="15.75" thickTop="1">
      <c r="A89" s="105"/>
      <c r="B89" s="107"/>
      <c r="K89" s="91"/>
      <c r="L89" s="91"/>
      <c r="O89" s="91"/>
      <c r="S89" s="100"/>
    </row>
    <row r="90" spans="1:21" ht="15.75" thickBot="1">
      <c r="B90" s="116" t="s">
        <v>328</v>
      </c>
      <c r="C90" s="117"/>
      <c r="D90" s="106"/>
      <c r="E90" s="129" t="e">
        <f>+#REF!-E86</f>
        <v>#REF!</v>
      </c>
      <c r="F90" s="119"/>
      <c r="G90" s="129" t="e">
        <f>G77-G88</f>
        <v>#REF!</v>
      </c>
      <c r="H90" s="130"/>
      <c r="I90" s="129" t="e">
        <f>+#REF!-I86</f>
        <v>#REF!</v>
      </c>
      <c r="J90" s="130"/>
      <c r="K90" s="129">
        <f>K77-K88</f>
        <v>-9459.5750000029802</v>
      </c>
      <c r="L90" s="106"/>
      <c r="M90" s="129" t="e">
        <f>M77-M88+0.49</f>
        <v>#REF!</v>
      </c>
      <c r="O90" s="129">
        <f>O77-O88</f>
        <v>0.2200000062584877</v>
      </c>
      <c r="P90" s="106"/>
      <c r="Q90" s="129">
        <f>Q77-Q88</f>
        <v>0.33962500095367432</v>
      </c>
      <c r="R90" s="106"/>
      <c r="S90" s="129">
        <f>S77-S88</f>
        <v>0.11962499329820275</v>
      </c>
      <c r="T90" s="106"/>
    </row>
    <row r="91" spans="1:21" ht="15.75" thickTop="1">
      <c r="L91" s="91"/>
      <c r="M91" s="108"/>
    </row>
    <row r="92" spans="1:21">
      <c r="M92" s="108"/>
    </row>
    <row r="93" spans="1:21">
      <c r="M93" s="108"/>
    </row>
    <row r="94" spans="1:21">
      <c r="M94" s="108"/>
    </row>
    <row r="95" spans="1:21">
      <c r="M95" s="108"/>
    </row>
    <row r="113" spans="1:15">
      <c r="A113" s="476" t="s">
        <v>273</v>
      </c>
      <c r="B113" s="477"/>
      <c r="C113" s="477"/>
      <c r="M113" s="477" t="s">
        <v>309</v>
      </c>
      <c r="N113" s="477"/>
      <c r="O113" s="477"/>
    </row>
    <row r="114" spans="1:15">
      <c r="M114" s="101"/>
      <c r="N114" s="105"/>
      <c r="O114" s="101"/>
    </row>
    <row r="115" spans="1:15">
      <c r="A115" s="131">
        <v>1</v>
      </c>
      <c r="B115" s="132" t="s">
        <v>279</v>
      </c>
      <c r="C115" s="133"/>
      <c r="L115" s="114">
        <v>1</v>
      </c>
      <c r="M115" s="132" t="s">
        <v>329</v>
      </c>
      <c r="N115" s="133"/>
      <c r="O115" s="134"/>
    </row>
    <row r="116" spans="1:15">
      <c r="A116" s="131"/>
      <c r="L116" s="114"/>
      <c r="M116" s="135" t="s">
        <v>330</v>
      </c>
    </row>
    <row r="117" spans="1:15">
      <c r="A117" s="131">
        <v>2</v>
      </c>
      <c r="B117" s="132" t="s">
        <v>288</v>
      </c>
      <c r="C117" s="133"/>
      <c r="L117" s="114"/>
      <c r="M117" s="135" t="s">
        <v>310</v>
      </c>
    </row>
    <row r="118" spans="1:15">
      <c r="A118" s="131"/>
      <c r="L118" s="114"/>
      <c r="M118" s="135" t="s">
        <v>311</v>
      </c>
    </row>
    <row r="119" spans="1:15">
      <c r="A119" s="131">
        <v>3</v>
      </c>
      <c r="B119" s="132" t="s">
        <v>289</v>
      </c>
      <c r="C119" s="133"/>
      <c r="L119" s="114"/>
      <c r="M119" s="135" t="s">
        <v>312</v>
      </c>
    </row>
    <row r="120" spans="1:15">
      <c r="A120" s="131"/>
      <c r="B120" s="135" t="s">
        <v>331</v>
      </c>
      <c r="C120" s="135"/>
      <c r="L120" s="114"/>
      <c r="M120" s="135" t="s">
        <v>230</v>
      </c>
    </row>
    <row r="121" spans="1:15">
      <c r="A121" s="131"/>
      <c r="B121" s="135" t="s">
        <v>291</v>
      </c>
      <c r="C121" s="135"/>
      <c r="L121" s="114"/>
      <c r="M121" s="135" t="s">
        <v>313</v>
      </c>
    </row>
    <row r="122" spans="1:15">
      <c r="A122" s="131"/>
      <c r="B122" s="135" t="s">
        <v>292</v>
      </c>
      <c r="C122" s="135"/>
      <c r="L122" s="114"/>
      <c r="M122" s="135" t="s">
        <v>205</v>
      </c>
    </row>
    <row r="123" spans="1:15">
      <c r="A123" s="131"/>
      <c r="B123" s="135" t="s">
        <v>293</v>
      </c>
      <c r="C123" s="135"/>
      <c r="L123" s="114"/>
      <c r="M123" s="135" t="s">
        <v>314</v>
      </c>
    </row>
    <row r="124" spans="1:15">
      <c r="A124" s="131"/>
      <c r="B124" s="135" t="s">
        <v>332</v>
      </c>
      <c r="C124" s="135"/>
      <c r="L124" s="114"/>
      <c r="M124" s="135" t="s">
        <v>315</v>
      </c>
    </row>
    <row r="125" spans="1:15">
      <c r="A125" s="131"/>
      <c r="B125" s="135" t="s">
        <v>294</v>
      </c>
      <c r="C125" s="135"/>
      <c r="L125" s="114"/>
    </row>
    <row r="126" spans="1:15">
      <c r="A126" s="131"/>
      <c r="B126" s="135" t="s">
        <v>295</v>
      </c>
      <c r="C126" s="135"/>
      <c r="L126" s="114">
        <v>2</v>
      </c>
      <c r="M126" s="132" t="s">
        <v>298</v>
      </c>
      <c r="N126" s="132"/>
      <c r="O126" s="134"/>
    </row>
    <row r="127" spans="1:15">
      <c r="A127" s="131"/>
      <c r="B127" s="135" t="s">
        <v>296</v>
      </c>
      <c r="C127" s="135"/>
      <c r="L127" s="114"/>
      <c r="M127" s="135" t="s">
        <v>299</v>
      </c>
    </row>
    <row r="128" spans="1:15">
      <c r="A128" s="131"/>
      <c r="B128" s="106"/>
      <c r="L128" s="114"/>
      <c r="M128" s="135" t="s">
        <v>300</v>
      </c>
    </row>
    <row r="129" spans="1:15">
      <c r="A129" s="131">
        <v>4</v>
      </c>
      <c r="B129" s="136" t="s">
        <v>298</v>
      </c>
      <c r="C129" s="137"/>
      <c r="L129" s="114"/>
      <c r="M129" s="138" t="s">
        <v>317</v>
      </c>
      <c r="N129" s="105"/>
    </row>
    <row r="130" spans="1:15">
      <c r="A130"/>
      <c r="B130" s="135" t="s">
        <v>299</v>
      </c>
      <c r="C130" s="135"/>
      <c r="L130" s="114"/>
      <c r="M130" s="135" t="s">
        <v>318</v>
      </c>
    </row>
    <row r="131" spans="1:15">
      <c r="A131"/>
      <c r="B131" s="135" t="s">
        <v>300</v>
      </c>
      <c r="C131" s="135"/>
      <c r="L131" s="114"/>
    </row>
    <row r="132" spans="1:15">
      <c r="A132"/>
      <c r="B132" s="135" t="s">
        <v>301</v>
      </c>
      <c r="C132" s="135"/>
      <c r="L132" s="114">
        <v>3</v>
      </c>
      <c r="M132" s="132" t="s">
        <v>136</v>
      </c>
      <c r="N132" s="133"/>
      <c r="O132" s="134"/>
    </row>
    <row r="133" spans="1:15">
      <c r="A133"/>
      <c r="B133" s="135" t="s">
        <v>302</v>
      </c>
      <c r="C133" s="135"/>
      <c r="L133" s="114"/>
      <c r="M133" s="135" t="s">
        <v>319</v>
      </c>
    </row>
    <row r="134" spans="1:15">
      <c r="A134"/>
      <c r="B134"/>
      <c r="C134"/>
      <c r="L134" s="114"/>
      <c r="M134" s="135" t="s">
        <v>320</v>
      </c>
      <c r="N134" s="106"/>
    </row>
    <row r="135" spans="1:15">
      <c r="A135"/>
      <c r="L135" s="114"/>
    </row>
    <row r="136" spans="1:15">
      <c r="A136" s="98"/>
      <c r="B136" s="98"/>
      <c r="C136" s="98"/>
      <c r="L136" s="114">
        <v>4</v>
      </c>
      <c r="M136" s="132" t="s">
        <v>322</v>
      </c>
      <c r="N136" s="133"/>
      <c r="O136" s="134"/>
    </row>
    <row r="137" spans="1:15">
      <c r="M137" s="135" t="s">
        <v>323</v>
      </c>
    </row>
    <row r="138" spans="1:15">
      <c r="M138" s="135" t="s">
        <v>324</v>
      </c>
    </row>
    <row r="140" spans="1:15">
      <c r="M140"/>
      <c r="N140"/>
      <c r="O140" s="139"/>
    </row>
    <row r="141" spans="1:15">
      <c r="M141"/>
      <c r="N141"/>
      <c r="O141" s="139"/>
    </row>
    <row r="142" spans="1:15">
      <c r="M142"/>
      <c r="N142"/>
      <c r="O142" s="139"/>
    </row>
    <row r="143" spans="1:15">
      <c r="M143"/>
      <c r="N143"/>
      <c r="O143" s="139"/>
    </row>
    <row r="144" spans="1:15">
      <c r="M144"/>
      <c r="N144"/>
      <c r="O144" s="139"/>
    </row>
    <row r="145" spans="13:15">
      <c r="M145"/>
      <c r="N145"/>
      <c r="O145" s="139"/>
    </row>
    <row r="146" spans="13:15">
      <c r="M146"/>
      <c r="N146"/>
      <c r="O146" s="139"/>
    </row>
    <row r="147" spans="13:15">
      <c r="M147"/>
      <c r="N147"/>
      <c r="O147" s="139"/>
    </row>
    <row r="148" spans="13:15">
      <c r="M148"/>
      <c r="N148"/>
      <c r="O148" s="139"/>
    </row>
    <row r="149" spans="13:15">
      <c r="M149"/>
      <c r="N149"/>
      <c r="O149" s="139"/>
    </row>
    <row r="150" spans="13:15">
      <c r="M150"/>
      <c r="N150"/>
      <c r="O150" s="139"/>
    </row>
  </sheetData>
  <mergeCells count="5">
    <mergeCell ref="A113:C113"/>
    <mergeCell ref="M113:O113"/>
    <mergeCell ref="A1:U1"/>
    <mergeCell ref="A66:U66"/>
    <mergeCell ref="A67:U67"/>
  </mergeCells>
  <printOptions horizontalCentered="1"/>
  <pageMargins left="0.45" right="0.35" top="0.75" bottom="1" header="0.3" footer="0.3"/>
  <pageSetup scale="74" fitToHeight="2" orientation="portrait" r:id="rId1"/>
  <headerFooter>
    <oddFooter>&amp;L&amp;D FY25 Budget</oddFooter>
  </headerFooter>
  <rowBreaks count="1" manualBreakCount="1">
    <brk id="6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topLeftCell="A4" workbookViewId="0">
      <selection activeCell="H32" sqref="H32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0" width="9" style="24"/>
    <col min="11" max="11" width="10.7109375" style="24" customWidth="1"/>
    <col min="12" max="16384" width="9" style="24"/>
  </cols>
  <sheetData>
    <row r="1" spans="1:14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4">
      <c r="A2" s="30" t="s">
        <v>486</v>
      </c>
    </row>
    <row r="3" spans="1:14">
      <c r="A3" s="30" t="s">
        <v>482</v>
      </c>
    </row>
    <row r="4" spans="1:14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4">
      <c r="A6" s="34" t="s">
        <v>38</v>
      </c>
    </row>
    <row r="7" spans="1:14">
      <c r="A7" s="74" t="s">
        <v>1</v>
      </c>
      <c r="B7" s="24" t="s">
        <v>45</v>
      </c>
      <c r="D7" s="376">
        <v>56704</v>
      </c>
      <c r="E7" s="376">
        <f>61548-5000</f>
        <v>56548</v>
      </c>
      <c r="F7" s="201">
        <v>59609</v>
      </c>
      <c r="G7" s="201">
        <f>'Pers 141'!N26</f>
        <v>61398</v>
      </c>
      <c r="H7" s="201">
        <v>61398</v>
      </c>
      <c r="I7" s="201"/>
      <c r="K7" s="426"/>
    </row>
    <row r="8" spans="1:14">
      <c r="A8" s="74" t="s">
        <v>2</v>
      </c>
      <c r="B8" s="24" t="s">
        <v>46</v>
      </c>
      <c r="D8" s="376">
        <v>109062</v>
      </c>
      <c r="E8" s="376">
        <f>85616+5000</f>
        <v>90616</v>
      </c>
      <c r="F8" s="201">
        <v>99698</v>
      </c>
      <c r="G8" s="201">
        <f>'Pers 141'!N27</f>
        <v>101520</v>
      </c>
      <c r="H8" s="201">
        <v>101520</v>
      </c>
      <c r="I8" s="201"/>
    </row>
    <row r="9" spans="1:14">
      <c r="A9" s="74" t="s">
        <v>3</v>
      </c>
      <c r="B9" s="24" t="s">
        <v>250</v>
      </c>
      <c r="D9" s="376">
        <v>2600</v>
      </c>
      <c r="E9" s="376">
        <v>2500</v>
      </c>
      <c r="F9" s="201">
        <v>2600</v>
      </c>
      <c r="G9" s="201">
        <f>'Pers 141'!N28</f>
        <v>2600</v>
      </c>
      <c r="H9" s="201">
        <v>2600</v>
      </c>
      <c r="I9" s="201"/>
    </row>
    <row r="10" spans="1:14">
      <c r="A10" s="74">
        <v>5142</v>
      </c>
      <c r="B10" s="24" t="s">
        <v>91</v>
      </c>
      <c r="D10" s="376">
        <v>2450</v>
      </c>
      <c r="E10" s="376">
        <v>2450</v>
      </c>
      <c r="F10" s="201">
        <v>900</v>
      </c>
      <c r="G10" s="201">
        <f>'Pers 141'!N29</f>
        <v>900</v>
      </c>
      <c r="H10" s="201">
        <v>900</v>
      </c>
      <c r="I10" s="201"/>
    </row>
    <row r="11" spans="1:14">
      <c r="A11" s="74">
        <v>5174</v>
      </c>
      <c r="B11" s="24" t="s">
        <v>408</v>
      </c>
      <c r="D11" s="376">
        <v>0</v>
      </c>
      <c r="E11" s="376">
        <v>10000</v>
      </c>
      <c r="F11" s="201">
        <v>10000</v>
      </c>
      <c r="G11" s="201">
        <f>'Pers 141'!N30</f>
        <v>10000</v>
      </c>
      <c r="H11" s="201">
        <v>10000</v>
      </c>
      <c r="I11" s="201"/>
    </row>
    <row r="12" spans="1:14">
      <c r="A12" s="74">
        <v>5192</v>
      </c>
      <c r="B12" s="24" t="s">
        <v>342</v>
      </c>
      <c r="D12" s="376">
        <v>818</v>
      </c>
      <c r="E12" s="376">
        <v>21321</v>
      </c>
      <c r="F12" s="201">
        <v>0</v>
      </c>
      <c r="G12" s="201">
        <f>'Pers 141'!N32</f>
        <v>0</v>
      </c>
      <c r="H12" s="201">
        <v>0</v>
      </c>
      <c r="I12" s="201"/>
    </row>
    <row r="13" spans="1:14">
      <c r="A13" s="74" t="s">
        <v>10</v>
      </c>
      <c r="B13" s="24" t="s">
        <v>52</v>
      </c>
      <c r="D13" s="302">
        <v>0</v>
      </c>
      <c r="E13" s="302">
        <v>0</v>
      </c>
      <c r="F13" s="201">
        <v>0</v>
      </c>
      <c r="G13" s="296">
        <f>'Pers 141'!N31</f>
        <v>2031</v>
      </c>
      <c r="H13" s="296">
        <v>2031</v>
      </c>
      <c r="I13" s="296"/>
    </row>
    <row r="14" spans="1:14">
      <c r="A14" s="35"/>
      <c r="D14" s="377">
        <f t="shared" ref="D14:I14" si="0">SUM(D7:D13)</f>
        <v>171634</v>
      </c>
      <c r="E14" s="377">
        <f t="shared" si="0"/>
        <v>183435</v>
      </c>
      <c r="F14" s="295">
        <f t="shared" si="0"/>
        <v>172807</v>
      </c>
      <c r="G14" s="71">
        <f>SUM(G7:G13)</f>
        <v>178449</v>
      </c>
      <c r="H14" s="71">
        <f t="shared" si="0"/>
        <v>178449</v>
      </c>
      <c r="I14" s="295">
        <f t="shared" si="0"/>
        <v>0</v>
      </c>
    </row>
    <row r="15" spans="1:14">
      <c r="A15" s="30" t="s">
        <v>44</v>
      </c>
      <c r="D15" s="376"/>
      <c r="E15" s="376"/>
      <c r="F15" s="201"/>
      <c r="G15" s="71"/>
      <c r="H15" s="201"/>
      <c r="I15" s="201"/>
    </row>
    <row r="16" spans="1:14">
      <c r="A16" s="35" t="s">
        <v>13</v>
      </c>
      <c r="B16" s="24" t="s">
        <v>53</v>
      </c>
      <c r="D16" s="376">
        <v>0</v>
      </c>
      <c r="E16" s="376">
        <v>0</v>
      </c>
      <c r="F16" s="201">
        <v>125</v>
      </c>
      <c r="G16" s="71">
        <v>125</v>
      </c>
      <c r="H16" s="201">
        <v>125</v>
      </c>
      <c r="I16" s="201"/>
      <c r="N16" s="201"/>
    </row>
    <row r="17" spans="1:59">
      <c r="A17" s="35" t="s">
        <v>16</v>
      </c>
      <c r="B17" s="24" t="s">
        <v>56</v>
      </c>
      <c r="D17" s="376">
        <v>62182</v>
      </c>
      <c r="E17" s="376">
        <f>12000+46455</f>
        <v>58455</v>
      </c>
      <c r="F17" s="201">
        <v>68700</v>
      </c>
      <c r="G17" s="71">
        <v>75000</v>
      </c>
      <c r="H17" s="71">
        <v>75000</v>
      </c>
      <c r="I17" s="201"/>
      <c r="M17" s="201"/>
      <c r="N17" s="201"/>
    </row>
    <row r="18" spans="1:59">
      <c r="A18" s="35" t="s">
        <v>20</v>
      </c>
      <c r="B18" s="24" t="s">
        <v>59</v>
      </c>
      <c r="D18" s="376">
        <v>454</v>
      </c>
      <c r="E18" s="376">
        <v>343</v>
      </c>
      <c r="F18" s="201">
        <v>500</v>
      </c>
      <c r="G18" s="71">
        <v>500</v>
      </c>
      <c r="H18" s="201">
        <v>500</v>
      </c>
      <c r="I18" s="201"/>
      <c r="M18" s="201"/>
      <c r="N18" s="201"/>
    </row>
    <row r="19" spans="1:59">
      <c r="A19" s="35"/>
      <c r="D19" s="377">
        <f t="shared" ref="D19:I19" si="1">SUM(D16:D18)</f>
        <v>62636</v>
      </c>
      <c r="E19" s="377">
        <f t="shared" si="1"/>
        <v>58798</v>
      </c>
      <c r="F19" s="377">
        <f t="shared" si="1"/>
        <v>69325</v>
      </c>
      <c r="G19" s="377">
        <f>SUM(G16:G18)</f>
        <v>75625</v>
      </c>
      <c r="H19" s="377">
        <f>SUM(H16:H18)</f>
        <v>75625</v>
      </c>
      <c r="I19" s="377">
        <f t="shared" si="1"/>
        <v>0</v>
      </c>
      <c r="M19" s="201"/>
      <c r="N19" s="201"/>
    </row>
    <row r="20" spans="1:59">
      <c r="A20" s="30" t="s">
        <v>43</v>
      </c>
      <c r="B20" s="24" t="s">
        <v>0</v>
      </c>
      <c r="D20" s="376" t="s">
        <v>0</v>
      </c>
      <c r="E20" s="376" t="s">
        <v>0</v>
      </c>
      <c r="F20" s="201" t="s">
        <v>0</v>
      </c>
      <c r="G20" s="71" t="s">
        <v>0</v>
      </c>
      <c r="H20" s="71" t="s">
        <v>0</v>
      </c>
      <c r="I20" s="201" t="s">
        <v>0</v>
      </c>
      <c r="M20" s="201"/>
      <c r="N20" s="212"/>
    </row>
    <row r="21" spans="1:59">
      <c r="A21" s="35" t="s">
        <v>21</v>
      </c>
      <c r="B21" s="24" t="s">
        <v>60</v>
      </c>
      <c r="D21" s="376">
        <v>3191</v>
      </c>
      <c r="E21" s="376">
        <v>4446</v>
      </c>
      <c r="F21" s="201">
        <v>4000</v>
      </c>
      <c r="G21" s="71">
        <v>4300</v>
      </c>
      <c r="H21" s="71">
        <v>4300</v>
      </c>
      <c r="I21" s="201"/>
      <c r="M21" s="201"/>
    </row>
    <row r="22" spans="1:59">
      <c r="A22" s="35" t="s">
        <v>30</v>
      </c>
      <c r="B22" s="24" t="s">
        <v>69</v>
      </c>
      <c r="D22" s="376">
        <v>0</v>
      </c>
      <c r="E22" s="376">
        <v>0</v>
      </c>
      <c r="F22" s="201">
        <v>0</v>
      </c>
      <c r="G22" s="71">
        <v>0</v>
      </c>
      <c r="H22" s="71">
        <v>0</v>
      </c>
      <c r="I22" s="201"/>
      <c r="L22" s="42"/>
      <c r="M22" s="201"/>
    </row>
    <row r="23" spans="1:59">
      <c r="A23" s="35"/>
      <c r="D23" s="377">
        <f t="shared" ref="D23:I23" si="2">SUM(D21:D22)</f>
        <v>3191</v>
      </c>
      <c r="E23" s="377">
        <f t="shared" si="2"/>
        <v>4446</v>
      </c>
      <c r="F23" s="295">
        <f t="shared" si="2"/>
        <v>4000</v>
      </c>
      <c r="G23" s="355">
        <f>SUM(G21:G22)</f>
        <v>4300</v>
      </c>
      <c r="H23" s="355">
        <f>SUM(H21:H22)</f>
        <v>4300</v>
      </c>
      <c r="I23" s="295">
        <f t="shared" si="2"/>
        <v>0</v>
      </c>
    </row>
    <row r="24" spans="1:59">
      <c r="A24" s="30" t="s">
        <v>39</v>
      </c>
      <c r="D24" s="376"/>
      <c r="E24" s="376"/>
      <c r="F24" s="201"/>
      <c r="G24" s="71"/>
      <c r="H24" s="71"/>
      <c r="I24" s="201"/>
    </row>
    <row r="25" spans="1:59">
      <c r="A25" s="35" t="s">
        <v>31</v>
      </c>
      <c r="B25" s="24" t="s">
        <v>553</v>
      </c>
      <c r="D25" s="376">
        <v>258</v>
      </c>
      <c r="E25" s="376">
        <v>1345</v>
      </c>
      <c r="F25" s="201">
        <v>3500</v>
      </c>
      <c r="G25" s="71">
        <v>4500</v>
      </c>
      <c r="H25" s="71">
        <v>4500</v>
      </c>
      <c r="I25" s="201"/>
    </row>
    <row r="26" spans="1:59">
      <c r="A26" s="35" t="s">
        <v>33</v>
      </c>
      <c r="B26" s="24" t="s">
        <v>71</v>
      </c>
      <c r="D26" s="376">
        <v>570</v>
      </c>
      <c r="E26" s="376">
        <v>715</v>
      </c>
      <c r="F26" s="201">
        <v>600</v>
      </c>
      <c r="G26" s="71">
        <v>750</v>
      </c>
      <c r="H26" s="71">
        <v>750</v>
      </c>
      <c r="I26" s="201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>
      <c r="A27" s="35" t="s">
        <v>35</v>
      </c>
      <c r="B27" s="24" t="s">
        <v>75</v>
      </c>
      <c r="D27" s="376">
        <v>0</v>
      </c>
      <c r="E27" s="376">
        <v>0</v>
      </c>
      <c r="F27" s="201">
        <v>0</v>
      </c>
      <c r="G27" s="71">
        <v>0</v>
      </c>
      <c r="H27" s="71">
        <v>0</v>
      </c>
      <c r="I27" s="201"/>
      <c r="AT27" s="62"/>
      <c r="AU27" s="62"/>
      <c r="AV27" s="62"/>
      <c r="AW27" s="62"/>
    </row>
    <row r="28" spans="1:59">
      <c r="A28" s="35"/>
      <c r="D28" s="377">
        <f t="shared" ref="D28:I28" si="3">SUM(D25:D27)</f>
        <v>828</v>
      </c>
      <c r="E28" s="377">
        <f t="shared" si="3"/>
        <v>2060</v>
      </c>
      <c r="F28" s="295">
        <f t="shared" si="3"/>
        <v>4100</v>
      </c>
      <c r="G28" s="295">
        <f t="shared" si="3"/>
        <v>5250</v>
      </c>
      <c r="H28" s="295">
        <f>SUM(H25:H27)</f>
        <v>5250</v>
      </c>
      <c r="I28" s="295">
        <f t="shared" si="3"/>
        <v>0</v>
      </c>
    </row>
    <row r="29" spans="1:59">
      <c r="A29" s="35"/>
      <c r="D29" s="376"/>
      <c r="E29" s="376"/>
      <c r="F29" s="201"/>
      <c r="G29" s="71"/>
      <c r="H29" s="201"/>
      <c r="I29" s="201"/>
    </row>
    <row r="30" spans="1:59">
      <c r="D30" s="68"/>
      <c r="E30" s="68"/>
      <c r="F30" s="67"/>
      <c r="G30" s="81"/>
      <c r="H30" s="67"/>
      <c r="I30" s="67"/>
    </row>
    <row r="31" spans="1:59">
      <c r="A31" s="30" t="s">
        <v>40</v>
      </c>
      <c r="D31" s="210">
        <f t="shared" ref="D31:I31" si="4">+D28+D23+D19+D14</f>
        <v>238289</v>
      </c>
      <c r="E31" s="210">
        <f t="shared" si="4"/>
        <v>248739</v>
      </c>
      <c r="F31" s="210">
        <f t="shared" si="4"/>
        <v>250232</v>
      </c>
      <c r="G31" s="210">
        <f>+G28+G23+G19+G14</f>
        <v>263624</v>
      </c>
      <c r="H31" s="210">
        <f t="shared" si="4"/>
        <v>263624</v>
      </c>
      <c r="I31" s="210">
        <f t="shared" si="4"/>
        <v>0</v>
      </c>
    </row>
    <row r="32" spans="1:59">
      <c r="F32" s="62"/>
    </row>
    <row r="33" spans="7:12">
      <c r="G33" s="211"/>
      <c r="I33" s="201"/>
      <c r="L33" s="201"/>
    </row>
    <row r="34" spans="7:12">
      <c r="I34" s="201"/>
      <c r="L34" s="201"/>
    </row>
    <row r="35" spans="7:12">
      <c r="G35" s="456"/>
      <c r="I35" s="201"/>
      <c r="L35" s="201"/>
    </row>
    <row r="36" spans="7:12">
      <c r="I36" s="201"/>
      <c r="L36" s="201"/>
    </row>
    <row r="37" spans="7:12">
      <c r="I37" s="201"/>
      <c r="L37" s="201"/>
    </row>
    <row r="39" spans="7:12">
      <c r="I39" s="212"/>
      <c r="L39" s="212"/>
    </row>
  </sheetData>
  <phoneticPr fontId="0" type="noConversion"/>
  <printOptions horizontalCentered="1"/>
  <pageMargins left="0.45" right="0.35" top="0.75" bottom="1" header="0.3" footer="0.3"/>
  <pageSetup scale="79" orientation="portrait" r:id="rId1"/>
  <headerFooter>
    <oddFooter>&amp;L&amp;D FY25 Budget&amp;CPage 7</oddFooter>
  </headerFooter>
  <ignoredErrors>
    <ignoredError sqref="A7:A9 A24:A31 A20:A23 A15:A16 A13:A14 A17 A18:A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>
      <selection activeCell="K8" sqref="K8:K13"/>
    </sheetView>
  </sheetViews>
  <sheetFormatPr defaultColWidth="9" defaultRowHeight="15"/>
  <cols>
    <col min="1" max="1" width="11.28515625" style="24" customWidth="1"/>
    <col min="2" max="2" width="10.5703125" style="24" customWidth="1"/>
    <col min="3" max="3" width="6.5703125" style="24" hidden="1" customWidth="1"/>
    <col min="4" max="5" width="6.5703125" style="24" customWidth="1"/>
    <col min="6" max="6" width="12.42578125" style="24" customWidth="1"/>
    <col min="7" max="7" width="12.42578125" style="24" hidden="1" customWidth="1"/>
    <col min="8" max="10" width="12.42578125" style="24" customWidth="1"/>
    <col min="11" max="11" width="5.7109375" style="24" customWidth="1"/>
    <col min="12" max="13" width="9" style="24"/>
    <col min="14" max="14" width="13.42578125" style="24" customWidth="1"/>
    <col min="15" max="15" width="13.42578125" style="24" hidden="1" customWidth="1"/>
    <col min="16" max="18" width="13.42578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18">
      <c r="A2" s="40" t="s">
        <v>42</v>
      </c>
      <c r="B2" s="41" t="s">
        <v>102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 t="s">
        <v>84</v>
      </c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B7" s="42"/>
      <c r="K7" s="53"/>
    </row>
    <row r="8" spans="1:18">
      <c r="A8" s="24" t="s">
        <v>530</v>
      </c>
      <c r="B8" s="189">
        <v>43500</v>
      </c>
      <c r="C8" s="42">
        <v>5</v>
      </c>
      <c r="D8" s="42"/>
      <c r="E8" s="42"/>
      <c r="F8" s="36">
        <v>59608.81</v>
      </c>
      <c r="G8" s="36"/>
      <c r="H8" s="73"/>
      <c r="I8" s="73">
        <v>0</v>
      </c>
      <c r="J8" s="73">
        <v>0</v>
      </c>
      <c r="K8" s="44"/>
      <c r="L8" s="42"/>
      <c r="M8" s="42"/>
      <c r="N8" s="73">
        <f>+F8*1.03</f>
        <v>61397.0743</v>
      </c>
      <c r="O8" s="73"/>
      <c r="P8" s="73"/>
      <c r="Q8" s="73">
        <v>0</v>
      </c>
      <c r="R8" s="73">
        <v>0</v>
      </c>
    </row>
    <row r="9" spans="1:18">
      <c r="B9" s="189"/>
      <c r="C9" s="42"/>
      <c r="D9" s="42"/>
      <c r="E9" s="42"/>
      <c r="F9" s="36"/>
      <c r="G9" s="36"/>
      <c r="H9" s="73"/>
      <c r="I9" s="73"/>
      <c r="J9" s="73"/>
      <c r="K9" s="44"/>
      <c r="L9" s="42"/>
      <c r="M9" s="42"/>
      <c r="N9" s="73"/>
      <c r="O9" s="73"/>
      <c r="P9" s="73"/>
      <c r="Q9" s="73"/>
      <c r="R9" s="73"/>
    </row>
    <row r="10" spans="1:18">
      <c r="A10" s="24" t="s">
        <v>94</v>
      </c>
      <c r="B10" s="189"/>
      <c r="C10" s="42"/>
      <c r="F10" s="73"/>
      <c r="G10" s="73"/>
      <c r="H10" s="73"/>
      <c r="I10" s="73"/>
      <c r="J10" s="73"/>
      <c r="K10" s="44"/>
      <c r="N10" s="73"/>
      <c r="O10" s="73"/>
      <c r="P10" s="73"/>
      <c r="Q10" s="73"/>
      <c r="R10" s="73"/>
    </row>
    <row r="11" spans="1:18">
      <c r="A11" s="24" t="s">
        <v>502</v>
      </c>
      <c r="B11" s="189">
        <v>40490</v>
      </c>
      <c r="C11" s="42">
        <v>13</v>
      </c>
      <c r="F11" s="73">
        <v>5000</v>
      </c>
      <c r="G11" s="73">
        <v>191.39</v>
      </c>
      <c r="H11" s="73"/>
      <c r="I11" s="73"/>
      <c r="J11" s="73"/>
      <c r="K11" s="44"/>
      <c r="N11" s="73">
        <v>5000</v>
      </c>
      <c r="O11" s="73">
        <f>5000/26.125</f>
        <v>191.38755980861245</v>
      </c>
      <c r="P11" s="73"/>
      <c r="Q11" s="73">
        <v>0</v>
      </c>
      <c r="R11" s="73">
        <v>0</v>
      </c>
    </row>
    <row r="12" spans="1:18">
      <c r="A12" s="24" t="s">
        <v>628</v>
      </c>
      <c r="B12" s="189">
        <v>44886</v>
      </c>
      <c r="C12" s="42">
        <v>1</v>
      </c>
      <c r="D12" s="42" t="s">
        <v>100</v>
      </c>
      <c r="E12" s="57">
        <v>2</v>
      </c>
      <c r="F12" s="73">
        <v>45257.68</v>
      </c>
      <c r="G12" s="73">
        <v>1740.68</v>
      </c>
      <c r="H12" s="73">
        <v>24.87</v>
      </c>
      <c r="I12" s="73">
        <v>0</v>
      </c>
      <c r="J12" s="73">
        <v>0</v>
      </c>
      <c r="K12" s="44"/>
      <c r="L12" s="42" t="s">
        <v>100</v>
      </c>
      <c r="M12" s="57">
        <v>3</v>
      </c>
      <c r="N12" s="73">
        <f>+O12*26.125</f>
        <v>46841.602500000001</v>
      </c>
      <c r="O12" s="73">
        <v>1792.98</v>
      </c>
      <c r="P12" s="73">
        <v>25.61</v>
      </c>
      <c r="Q12" s="73">
        <v>0</v>
      </c>
      <c r="R12" s="73">
        <v>0</v>
      </c>
    </row>
    <row r="13" spans="1:18">
      <c r="A13" s="24" t="s">
        <v>473</v>
      </c>
      <c r="B13" s="189">
        <v>43297</v>
      </c>
      <c r="C13" s="42">
        <v>5</v>
      </c>
      <c r="D13" s="57" t="s">
        <v>100</v>
      </c>
      <c r="E13" s="315">
        <v>5</v>
      </c>
      <c r="F13" s="73">
        <v>49440.04</v>
      </c>
      <c r="G13" s="73">
        <v>1901.04</v>
      </c>
      <c r="H13" s="73">
        <v>27.16</v>
      </c>
      <c r="I13" s="73">
        <v>900</v>
      </c>
      <c r="J13" s="73">
        <v>0</v>
      </c>
      <c r="K13" s="44"/>
      <c r="L13" s="42"/>
      <c r="M13" s="57">
        <v>5</v>
      </c>
      <c r="N13" s="73">
        <f>+O13*26.125</f>
        <v>49677.732499999998</v>
      </c>
      <c r="O13" s="73">
        <v>1901.54</v>
      </c>
      <c r="P13" s="73">
        <v>27.16</v>
      </c>
      <c r="Q13" s="73">
        <v>900</v>
      </c>
      <c r="R13" s="73">
        <v>0</v>
      </c>
    </row>
    <row r="14" spans="1:18">
      <c r="B14" s="189"/>
      <c r="D14" s="42"/>
      <c r="E14" s="315"/>
      <c r="F14" s="73"/>
      <c r="G14" s="73"/>
      <c r="H14" s="73"/>
      <c r="I14" s="73"/>
      <c r="J14" s="73"/>
      <c r="K14" s="53"/>
      <c r="M14" s="42"/>
      <c r="N14" s="73"/>
      <c r="O14" s="73"/>
      <c r="P14" s="73"/>
      <c r="Q14" s="73"/>
      <c r="R14" s="73"/>
    </row>
    <row r="15" spans="1:18">
      <c r="B15" s="189"/>
      <c r="D15" s="42"/>
      <c r="E15" s="315"/>
      <c r="F15" s="73"/>
      <c r="G15" s="73"/>
      <c r="H15" s="73"/>
      <c r="I15" s="73"/>
      <c r="J15" s="73"/>
      <c r="K15" s="53"/>
      <c r="M15" s="42"/>
      <c r="N15" s="73"/>
      <c r="O15" s="73"/>
      <c r="P15" s="73"/>
      <c r="Q15" s="73"/>
      <c r="R15" s="73"/>
    </row>
    <row r="16" spans="1:18">
      <c r="A16" s="24" t="s">
        <v>98</v>
      </c>
      <c r="B16" s="189"/>
      <c r="F16" s="73"/>
      <c r="G16" s="73"/>
      <c r="H16" s="73"/>
      <c r="I16" s="73"/>
      <c r="J16" s="73"/>
      <c r="K16" s="53"/>
    </row>
    <row r="17" spans="1:14">
      <c r="A17" s="62" t="s">
        <v>598</v>
      </c>
      <c r="B17" s="194"/>
      <c r="C17" s="56"/>
      <c r="D17" s="42"/>
      <c r="E17" s="42"/>
      <c r="F17" s="73">
        <v>400</v>
      </c>
      <c r="G17" s="73"/>
      <c r="H17" s="73"/>
      <c r="I17" s="73"/>
      <c r="J17" s="73"/>
      <c r="K17" s="56"/>
      <c r="L17" s="42"/>
      <c r="M17" s="42"/>
      <c r="N17" s="36">
        <v>400</v>
      </c>
    </row>
    <row r="18" spans="1:14">
      <c r="A18" s="62" t="s">
        <v>723</v>
      </c>
      <c r="B18" s="194"/>
      <c r="C18" s="56"/>
      <c r="D18" s="42"/>
      <c r="E18" s="42"/>
      <c r="F18" s="73">
        <v>400</v>
      </c>
      <c r="G18" s="73"/>
      <c r="H18" s="73"/>
      <c r="I18" s="73"/>
      <c r="J18" s="73"/>
      <c r="K18" s="56"/>
      <c r="L18" s="42"/>
      <c r="M18" s="42"/>
      <c r="N18" s="36">
        <v>400</v>
      </c>
    </row>
    <row r="19" spans="1:14">
      <c r="A19" s="62" t="s">
        <v>597</v>
      </c>
      <c r="B19" s="194"/>
      <c r="C19" s="56"/>
      <c r="D19" s="42"/>
      <c r="E19" s="42"/>
      <c r="F19" s="73">
        <v>400</v>
      </c>
      <c r="G19" s="73"/>
      <c r="H19" s="73"/>
      <c r="I19" s="73"/>
      <c r="J19" s="73"/>
      <c r="K19" s="56"/>
      <c r="L19" s="42"/>
      <c r="M19" s="42"/>
      <c r="N19" s="36">
        <v>400</v>
      </c>
    </row>
    <row r="20" spans="1:14">
      <c r="A20" s="62" t="s">
        <v>599</v>
      </c>
      <c r="B20" s="194"/>
      <c r="C20" s="56"/>
      <c r="D20" s="42"/>
      <c r="E20" s="42"/>
      <c r="F20" s="73">
        <v>400</v>
      </c>
      <c r="G20" s="73"/>
      <c r="H20" s="73"/>
      <c r="I20" s="73"/>
      <c r="J20" s="73"/>
      <c r="K20" s="56"/>
      <c r="L20" s="42"/>
      <c r="M20" s="42"/>
      <c r="N20" s="36">
        <v>400</v>
      </c>
    </row>
    <row r="21" spans="1:14">
      <c r="A21" s="62" t="s">
        <v>600</v>
      </c>
      <c r="B21" s="194"/>
      <c r="C21" s="56"/>
      <c r="D21" s="42"/>
      <c r="E21" s="42"/>
      <c r="F21" s="73">
        <v>1000</v>
      </c>
      <c r="G21" s="73"/>
      <c r="H21" s="73"/>
      <c r="I21" s="73"/>
      <c r="J21" s="73"/>
      <c r="K21" s="56"/>
      <c r="L21" s="42"/>
      <c r="M21" s="42"/>
      <c r="N21" s="36">
        <v>1000</v>
      </c>
    </row>
    <row r="22" spans="1:14">
      <c r="B22" s="311"/>
      <c r="F22" s="73"/>
      <c r="G22" s="73"/>
      <c r="H22" s="73"/>
      <c r="I22" s="73"/>
      <c r="J22" s="73"/>
      <c r="K22" s="53"/>
    </row>
    <row r="23" spans="1:14">
      <c r="K23" s="53"/>
    </row>
    <row r="24" spans="1:14">
      <c r="A24" s="58"/>
      <c r="K24" s="53"/>
    </row>
    <row r="25" spans="1:14">
      <c r="A25" s="40" t="s">
        <v>96</v>
      </c>
      <c r="B25" s="42"/>
      <c r="K25" s="53"/>
    </row>
    <row r="26" spans="1:14">
      <c r="A26" s="24" t="s">
        <v>45</v>
      </c>
      <c r="B26" s="42"/>
      <c r="F26" s="36">
        <f>ROUNDUP(F8,0)</f>
        <v>59609</v>
      </c>
      <c r="K26" s="53"/>
      <c r="N26" s="36">
        <f>ROUNDUP(+N8,0)</f>
        <v>61398</v>
      </c>
    </row>
    <row r="27" spans="1:14">
      <c r="A27" s="24" t="s">
        <v>46</v>
      </c>
      <c r="B27" s="42"/>
      <c r="F27" s="36">
        <f>ROUND(+F11+F12+F13,0)</f>
        <v>99698</v>
      </c>
      <c r="K27" s="53"/>
      <c r="N27" s="36">
        <f>ROUNDUP(+N12+N13+N11,0)</f>
        <v>101520</v>
      </c>
    </row>
    <row r="28" spans="1:14">
      <c r="A28" s="24" t="s">
        <v>250</v>
      </c>
      <c r="B28" s="42"/>
      <c r="F28" s="36">
        <f>ROUND(F17+F18+F19+F20+F21,0)</f>
        <v>2600</v>
      </c>
      <c r="K28" s="53"/>
      <c r="N28" s="36">
        <f>ROUND(N17+N18+N19+N20+N21,0)</f>
        <v>2600</v>
      </c>
    </row>
    <row r="29" spans="1:14">
      <c r="A29" s="24" t="s">
        <v>91</v>
      </c>
      <c r="B29" s="42"/>
      <c r="F29" s="36">
        <f>+I13</f>
        <v>900</v>
      </c>
      <c r="K29" s="53"/>
      <c r="N29" s="36">
        <f>+Q13</f>
        <v>900</v>
      </c>
    </row>
    <row r="30" spans="1:14">
      <c r="A30" s="24" t="s">
        <v>408</v>
      </c>
      <c r="B30" s="42"/>
      <c r="F30" s="36">
        <v>10000</v>
      </c>
      <c r="K30" s="53"/>
      <c r="N30" s="36">
        <f>10000</f>
        <v>10000</v>
      </c>
    </row>
    <row r="31" spans="1:14">
      <c r="A31" s="24" t="s">
        <v>52</v>
      </c>
      <c r="B31" s="42"/>
      <c r="F31" s="36">
        <v>0</v>
      </c>
      <c r="K31" s="53"/>
      <c r="N31" s="36">
        <f>ROUNDUP(+N27*0.02,0)</f>
        <v>2031</v>
      </c>
    </row>
    <row r="32" spans="1:14">
      <c r="A32" s="24" t="s">
        <v>342</v>
      </c>
      <c r="B32" s="42"/>
      <c r="F32" s="36">
        <f>+J12</f>
        <v>0</v>
      </c>
      <c r="K32" s="53"/>
      <c r="N32" s="36">
        <f>ROUNDUP(R12,0)</f>
        <v>0</v>
      </c>
    </row>
    <row r="33" spans="1:14">
      <c r="B33" s="42"/>
      <c r="F33" s="54"/>
      <c r="K33" s="53"/>
      <c r="N33" s="54"/>
    </row>
    <row r="34" spans="1:14">
      <c r="A34" s="42" t="s">
        <v>337</v>
      </c>
      <c r="B34" s="42"/>
      <c r="C34" s="193"/>
      <c r="D34" s="193"/>
      <c r="E34" s="193"/>
      <c r="F34" s="193">
        <f>SUM(F26:F32)</f>
        <v>172807</v>
      </c>
      <c r="K34" s="196"/>
      <c r="L34" s="193"/>
      <c r="M34" s="193"/>
      <c r="N34" s="193">
        <f>SUM(N26:N32)</f>
        <v>178449</v>
      </c>
    </row>
    <row r="35" spans="1:14">
      <c r="F35" s="422"/>
      <c r="N35" s="62"/>
    </row>
    <row r="37" spans="1:14">
      <c r="F37" s="60" t="s">
        <v>686</v>
      </c>
      <c r="N37" s="60" t="s">
        <v>666</v>
      </c>
    </row>
    <row r="38" spans="1:14">
      <c r="F38" s="60" t="s">
        <v>625</v>
      </c>
      <c r="N38" s="60" t="s">
        <v>664</v>
      </c>
    </row>
    <row r="39" spans="1:14">
      <c r="F39" s="313" t="s">
        <v>97</v>
      </c>
      <c r="G39" s="62"/>
      <c r="H39" s="62"/>
      <c r="I39" s="62"/>
      <c r="K39" s="62"/>
      <c r="L39" s="62"/>
      <c r="M39" s="62"/>
      <c r="N39" s="313" t="s">
        <v>97</v>
      </c>
    </row>
    <row r="40" spans="1:14">
      <c r="F40" s="60"/>
      <c r="N40" s="60"/>
    </row>
    <row r="42" spans="1:14">
      <c r="F42" s="62"/>
      <c r="N42" s="62"/>
    </row>
  </sheetData>
  <phoneticPr fontId="0" type="noConversion"/>
  <printOptions horizontalCentered="1" gridLines="1"/>
  <pageMargins left="0.45" right="0.35" top="0.75" bottom="1" header="0.3" footer="0.3"/>
  <pageSetup scale="79" orientation="landscape" r:id="rId1"/>
  <headerFooter>
    <oddFooter>&amp;L&amp;D FY25 Budget&amp;CPage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"/>
  <sheetViews>
    <sheetView showWhiteSpace="0" topLeftCell="A5" workbookViewId="0">
      <selection activeCell="H33" sqref="H33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9" width="14.42578125" style="36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487</v>
      </c>
    </row>
    <row r="3" spans="1:9">
      <c r="A3" s="30" t="s">
        <v>269</v>
      </c>
    </row>
    <row r="4" spans="1:9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68">
        <v>103000</v>
      </c>
      <c r="E7" s="68">
        <v>107356</v>
      </c>
      <c r="F7" s="67">
        <v>110504</v>
      </c>
      <c r="G7" s="67">
        <f>'Pers 145'!N17</f>
        <v>113820</v>
      </c>
      <c r="H7" s="67">
        <v>113820</v>
      </c>
      <c r="I7" s="67"/>
    </row>
    <row r="8" spans="1:9">
      <c r="A8" s="35" t="s">
        <v>2</v>
      </c>
      <c r="B8" s="24" t="s">
        <v>46</v>
      </c>
      <c r="D8" s="68">
        <v>237581</v>
      </c>
      <c r="E8" s="68">
        <v>194204</v>
      </c>
      <c r="F8" s="67">
        <v>221243</v>
      </c>
      <c r="G8" s="67">
        <f>'Pers 145'!N18</f>
        <v>207491</v>
      </c>
      <c r="H8" s="67">
        <v>207491</v>
      </c>
      <c r="I8" s="67"/>
    </row>
    <row r="9" spans="1:9">
      <c r="A9" s="74">
        <v>5130</v>
      </c>
      <c r="B9" s="24" t="s">
        <v>48</v>
      </c>
      <c r="D9" s="68">
        <v>0</v>
      </c>
      <c r="E9" s="68">
        <v>0</v>
      </c>
      <c r="F9" s="67">
        <v>0</v>
      </c>
      <c r="G9" s="67">
        <v>0</v>
      </c>
      <c r="H9" s="67">
        <v>0</v>
      </c>
      <c r="I9" s="67"/>
    </row>
    <row r="10" spans="1:9">
      <c r="A10" s="74">
        <v>5142</v>
      </c>
      <c r="B10" s="24" t="s">
        <v>91</v>
      </c>
      <c r="D10" s="68">
        <v>5950</v>
      </c>
      <c r="E10" s="68">
        <v>4500</v>
      </c>
      <c r="F10" s="67">
        <v>4750</v>
      </c>
      <c r="G10" s="67">
        <f>'Pers 145'!N20</f>
        <v>5650</v>
      </c>
      <c r="H10" s="67">
        <v>5650</v>
      </c>
      <c r="I10" s="67"/>
    </row>
    <row r="11" spans="1:9">
      <c r="A11" s="74">
        <v>5170</v>
      </c>
      <c r="B11" s="24" t="s">
        <v>408</v>
      </c>
      <c r="D11" s="68">
        <v>0</v>
      </c>
      <c r="E11" s="68">
        <v>10000</v>
      </c>
      <c r="F11" s="67">
        <v>10400</v>
      </c>
      <c r="G11" s="67">
        <f>'Pers 145'!N19</f>
        <v>10400</v>
      </c>
      <c r="H11" s="67">
        <v>10400</v>
      </c>
      <c r="I11" s="67"/>
    </row>
    <row r="12" spans="1:9">
      <c r="A12" s="74">
        <v>5192</v>
      </c>
      <c r="B12" s="24" t="s">
        <v>342</v>
      </c>
      <c r="D12" s="68">
        <v>25295</v>
      </c>
      <c r="E12" s="68">
        <v>5007</v>
      </c>
      <c r="F12" s="67">
        <v>2125</v>
      </c>
      <c r="G12" s="67">
        <f>'Pers 145'!N21</f>
        <v>3269</v>
      </c>
      <c r="H12" s="67">
        <v>3269</v>
      </c>
      <c r="I12" s="67"/>
    </row>
    <row r="13" spans="1:9">
      <c r="A13" s="35" t="s">
        <v>10</v>
      </c>
      <c r="B13" s="24" t="s">
        <v>271</v>
      </c>
      <c r="D13" s="249">
        <v>0</v>
      </c>
      <c r="E13" s="249">
        <v>0</v>
      </c>
      <c r="F13" s="78">
        <v>0</v>
      </c>
      <c r="G13" s="67">
        <f>'Pers 145'!N22</f>
        <v>4150</v>
      </c>
      <c r="H13" s="67">
        <v>4150</v>
      </c>
      <c r="I13" s="67"/>
    </row>
    <row r="14" spans="1:9">
      <c r="A14" s="35"/>
      <c r="D14" s="94">
        <f t="shared" ref="D14:I14" si="0">SUM(D7:D13)</f>
        <v>371826</v>
      </c>
      <c r="E14" s="94">
        <f t="shared" si="0"/>
        <v>321067</v>
      </c>
      <c r="F14" s="79">
        <f t="shared" si="0"/>
        <v>349022</v>
      </c>
      <c r="G14" s="79">
        <f>SUM(G7:G13)</f>
        <v>344780</v>
      </c>
      <c r="H14" s="79">
        <f>SUM(H7:H13)</f>
        <v>344780</v>
      </c>
      <c r="I14" s="79">
        <f t="shared" si="0"/>
        <v>0</v>
      </c>
    </row>
    <row r="15" spans="1:9">
      <c r="A15" s="30" t="s">
        <v>44</v>
      </c>
      <c r="D15" s="68"/>
      <c r="E15" s="68"/>
      <c r="F15" s="67"/>
      <c r="G15" s="67"/>
      <c r="H15" s="67"/>
      <c r="I15" s="67"/>
    </row>
    <row r="16" spans="1:9">
      <c r="A16" s="60">
        <v>5300</v>
      </c>
      <c r="B16" s="24" t="s">
        <v>399</v>
      </c>
      <c r="D16" s="68">
        <v>0</v>
      </c>
      <c r="E16" s="68">
        <v>0</v>
      </c>
      <c r="F16" s="67">
        <v>0</v>
      </c>
      <c r="G16" s="67">
        <f>32275+8563+1662</f>
        <v>42500</v>
      </c>
      <c r="H16" s="67">
        <v>42500</v>
      </c>
      <c r="I16" s="67"/>
    </row>
    <row r="17" spans="1:59">
      <c r="A17" s="35" t="s">
        <v>16</v>
      </c>
      <c r="B17" s="24" t="s">
        <v>56</v>
      </c>
      <c r="D17" s="68">
        <v>28239</v>
      </c>
      <c r="E17" s="68">
        <v>28830</v>
      </c>
      <c r="F17" s="68">
        <v>30000</v>
      </c>
      <c r="G17" s="68">
        <v>35000</v>
      </c>
      <c r="H17" s="68">
        <v>35000</v>
      </c>
      <c r="I17" s="68"/>
    </row>
    <row r="18" spans="1:59">
      <c r="A18" s="35" t="s">
        <v>268</v>
      </c>
      <c r="B18" s="24" t="s">
        <v>58</v>
      </c>
      <c r="D18" s="68">
        <v>668</v>
      </c>
      <c r="E18" s="68">
        <v>497</v>
      </c>
      <c r="F18" s="67">
        <v>1000</v>
      </c>
      <c r="G18" s="67">
        <v>1000</v>
      </c>
      <c r="H18" s="67">
        <v>1000</v>
      </c>
      <c r="I18" s="67"/>
    </row>
    <row r="19" spans="1:59">
      <c r="A19" s="35" t="s">
        <v>20</v>
      </c>
      <c r="B19" s="24" t="s">
        <v>59</v>
      </c>
      <c r="D19" s="68">
        <v>0</v>
      </c>
      <c r="E19" s="68">
        <v>0</v>
      </c>
      <c r="F19" s="67">
        <v>0</v>
      </c>
      <c r="G19" s="67">
        <v>0</v>
      </c>
      <c r="H19" s="67">
        <v>0</v>
      </c>
      <c r="I19" s="67"/>
    </row>
    <row r="20" spans="1:59">
      <c r="A20" s="35"/>
      <c r="D20" s="94">
        <f>SUM(D16:D19)</f>
        <v>28907</v>
      </c>
      <c r="E20" s="94">
        <f t="shared" ref="E20:I20" si="1">SUM(E16:E19)</f>
        <v>29327</v>
      </c>
      <c r="F20" s="94">
        <f t="shared" si="1"/>
        <v>31000</v>
      </c>
      <c r="G20" s="94">
        <f>SUM(G16:G19)</f>
        <v>78500</v>
      </c>
      <c r="H20" s="94">
        <f t="shared" si="1"/>
        <v>78500</v>
      </c>
      <c r="I20" s="94">
        <f t="shared" si="1"/>
        <v>0</v>
      </c>
    </row>
    <row r="21" spans="1:59">
      <c r="A21" s="30" t="s">
        <v>43</v>
      </c>
      <c r="B21" s="24" t="s">
        <v>0</v>
      </c>
      <c r="D21" s="68" t="s">
        <v>0</v>
      </c>
      <c r="E21" s="68" t="s">
        <v>0</v>
      </c>
      <c r="F21" s="67" t="s">
        <v>0</v>
      </c>
      <c r="G21" s="67" t="s">
        <v>0</v>
      </c>
      <c r="H21" s="67" t="s">
        <v>0</v>
      </c>
      <c r="I21" s="67" t="s">
        <v>0</v>
      </c>
    </row>
    <row r="22" spans="1:59">
      <c r="A22" s="35" t="s">
        <v>21</v>
      </c>
      <c r="B22" s="24" t="s">
        <v>60</v>
      </c>
      <c r="D22" s="68">
        <v>3369</v>
      </c>
      <c r="E22" s="68">
        <v>4508</v>
      </c>
      <c r="F22" s="67">
        <v>4000</v>
      </c>
      <c r="G22" s="67">
        <v>7000</v>
      </c>
      <c r="H22" s="67">
        <v>7000</v>
      </c>
      <c r="I22" s="67"/>
    </row>
    <row r="23" spans="1:59">
      <c r="A23" s="35" t="s">
        <v>30</v>
      </c>
      <c r="B23" s="24" t="s">
        <v>69</v>
      </c>
      <c r="D23" s="68">
        <v>0</v>
      </c>
      <c r="E23" s="68">
        <v>0</v>
      </c>
      <c r="F23" s="67">
        <v>0</v>
      </c>
      <c r="G23" s="67">
        <v>0</v>
      </c>
      <c r="H23" s="67">
        <v>0</v>
      </c>
      <c r="I23" s="67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>
      <c r="A24" s="35"/>
      <c r="D24" s="94">
        <f t="shared" ref="D24:I24" si="2">SUM(D22:D23)</f>
        <v>3369</v>
      </c>
      <c r="E24" s="94">
        <f t="shared" si="2"/>
        <v>4508</v>
      </c>
      <c r="F24" s="79">
        <f t="shared" si="2"/>
        <v>4000</v>
      </c>
      <c r="G24" s="79">
        <f>SUM(G22:G23)</f>
        <v>7000</v>
      </c>
      <c r="H24" s="79">
        <f t="shared" ref="H24" si="3">SUM(H22:H23)</f>
        <v>7000</v>
      </c>
      <c r="I24" s="79">
        <f t="shared" si="2"/>
        <v>0</v>
      </c>
      <c r="AT24" s="62"/>
      <c r="AU24" s="62"/>
      <c r="AV24" s="62"/>
      <c r="AW24" s="62"/>
    </row>
    <row r="25" spans="1:59">
      <c r="A25" s="30" t="s">
        <v>39</v>
      </c>
      <c r="D25" s="68"/>
      <c r="E25" s="68"/>
      <c r="F25" s="67"/>
      <c r="G25" s="67"/>
      <c r="H25" s="67"/>
      <c r="I25" s="67"/>
    </row>
    <row r="26" spans="1:59">
      <c r="A26" s="35" t="s">
        <v>31</v>
      </c>
      <c r="B26" s="24" t="s">
        <v>553</v>
      </c>
      <c r="D26" s="68">
        <v>1542</v>
      </c>
      <c r="E26" s="68">
        <v>1950</v>
      </c>
      <c r="F26" s="67">
        <v>2500</v>
      </c>
      <c r="G26" s="67">
        <v>3500</v>
      </c>
      <c r="H26" s="67">
        <v>3500</v>
      </c>
      <c r="I26" s="67"/>
    </row>
    <row r="27" spans="1:59">
      <c r="A27" s="35" t="s">
        <v>33</v>
      </c>
      <c r="B27" s="24" t="s">
        <v>71</v>
      </c>
      <c r="D27" s="68">
        <v>215</v>
      </c>
      <c r="E27" s="68">
        <v>265</v>
      </c>
      <c r="F27" s="67">
        <v>400</v>
      </c>
      <c r="G27" s="67">
        <v>500</v>
      </c>
      <c r="H27" s="67">
        <v>500</v>
      </c>
      <c r="I27" s="67"/>
    </row>
    <row r="28" spans="1:59">
      <c r="A28" s="35" t="s">
        <v>35</v>
      </c>
      <c r="B28" s="24" t="s">
        <v>132</v>
      </c>
      <c r="D28" s="68">
        <v>15302</v>
      </c>
      <c r="E28" s="68">
        <v>13576</v>
      </c>
      <c r="F28" s="67">
        <v>15000</v>
      </c>
      <c r="G28" s="81">
        <v>12500</v>
      </c>
      <c r="H28" s="81">
        <v>12500</v>
      </c>
      <c r="I28" s="67"/>
    </row>
    <row r="29" spans="1:59">
      <c r="A29" s="35"/>
      <c r="D29" s="94">
        <f t="shared" ref="D29:I29" si="4">SUM(D26:D28)</f>
        <v>17059</v>
      </c>
      <c r="E29" s="94">
        <f t="shared" si="4"/>
        <v>15791</v>
      </c>
      <c r="F29" s="79">
        <f t="shared" si="4"/>
        <v>17900</v>
      </c>
      <c r="G29" s="79">
        <f t="shared" si="4"/>
        <v>16500</v>
      </c>
      <c r="H29" s="79">
        <f>SUM(H26:H28)</f>
        <v>16500</v>
      </c>
      <c r="I29" s="79">
        <f t="shared" si="4"/>
        <v>0</v>
      </c>
    </row>
    <row r="30" spans="1:59">
      <c r="A30" s="35"/>
      <c r="D30" s="68"/>
      <c r="E30" s="68"/>
      <c r="F30" s="67"/>
      <c r="G30" s="67"/>
      <c r="H30" s="67"/>
      <c r="I30" s="67"/>
    </row>
    <row r="31" spans="1:59">
      <c r="D31" s="68"/>
      <c r="E31" s="68"/>
      <c r="F31" s="67"/>
      <c r="G31" s="67"/>
      <c r="H31" s="67"/>
      <c r="I31" s="67"/>
    </row>
    <row r="32" spans="1:59">
      <c r="A32" s="30" t="s">
        <v>40</v>
      </c>
      <c r="D32" s="210">
        <f t="shared" ref="D32:I32" si="5">+D14+D20+D24+D29</f>
        <v>421161</v>
      </c>
      <c r="E32" s="210">
        <f t="shared" si="5"/>
        <v>370693</v>
      </c>
      <c r="F32" s="210">
        <f t="shared" si="5"/>
        <v>401922</v>
      </c>
      <c r="G32" s="202">
        <f>+G14+G20+G24+G29</f>
        <v>446780</v>
      </c>
      <c r="H32" s="202">
        <f t="shared" si="5"/>
        <v>446780</v>
      </c>
      <c r="I32" s="202">
        <f t="shared" si="5"/>
        <v>0</v>
      </c>
    </row>
    <row r="33" spans="1:9">
      <c r="A33" s="30"/>
      <c r="D33" s="210"/>
      <c r="E33" s="210"/>
      <c r="F33" s="202"/>
      <c r="G33" s="202"/>
      <c r="H33" s="202"/>
      <c r="I33" s="202"/>
    </row>
    <row r="34" spans="1:9" customFormat="1">
      <c r="D34" s="372"/>
      <c r="E34" s="375"/>
      <c r="F34" s="185"/>
      <c r="G34" s="456"/>
    </row>
    <row r="35" spans="1:9" customFormat="1">
      <c r="D35" s="91"/>
      <c r="E35" s="91"/>
    </row>
    <row r="36" spans="1:9" customFormat="1">
      <c r="D36" s="91"/>
      <c r="E36" s="91"/>
    </row>
    <row r="37" spans="1:9" customFormat="1">
      <c r="D37" s="91"/>
      <c r="E37" s="91"/>
    </row>
  </sheetData>
  <phoneticPr fontId="0" type="noConversion"/>
  <printOptions horizontalCentered="1"/>
  <pageMargins left="0.45" right="0.35" top="0.75" bottom="1" header="0.3" footer="0.3"/>
  <pageSetup scale="92" orientation="landscape" r:id="rId1"/>
  <headerFooter>
    <oddFooter>&amp;L&amp;D FY25 Budget&amp;CPage 9</oddFooter>
  </headerFooter>
  <ignoredErrors>
    <ignoredError sqref="A7 A8 A22:A24 A25:A28 A13 A18:A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WhiteSpace="0" workbookViewId="0">
      <selection activeCell="C8" sqref="C8"/>
    </sheetView>
  </sheetViews>
  <sheetFormatPr defaultColWidth="9" defaultRowHeight="15"/>
  <cols>
    <col min="1" max="1" width="12.7109375" style="24" customWidth="1"/>
    <col min="2" max="2" width="11.42578125" style="24" customWidth="1"/>
    <col min="3" max="5" width="6.5703125" style="24" customWidth="1"/>
    <col min="6" max="6" width="12.42578125" style="24" customWidth="1"/>
    <col min="7" max="7" width="12.42578125" style="24" hidden="1" customWidth="1"/>
    <col min="8" max="10" width="12.42578125" style="24" customWidth="1"/>
    <col min="11" max="13" width="9" style="24"/>
    <col min="14" max="14" width="12.42578125" style="24" customWidth="1"/>
    <col min="15" max="15" width="12.42578125" style="24" hidden="1" customWidth="1"/>
    <col min="16" max="19" width="12.42578125" style="24" customWidth="1"/>
    <col min="20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104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 t="s">
        <v>86</v>
      </c>
      <c r="M5" s="42" t="s">
        <v>87</v>
      </c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B7" s="42"/>
      <c r="K7" s="53"/>
    </row>
    <row r="8" spans="1:18">
      <c r="A8" s="24" t="s">
        <v>267</v>
      </c>
      <c r="B8" s="189">
        <v>36220</v>
      </c>
      <c r="C8" s="42"/>
      <c r="D8" s="42" t="s">
        <v>340</v>
      </c>
      <c r="E8" s="42" t="s">
        <v>340</v>
      </c>
      <c r="F8" s="73">
        <v>110504.08</v>
      </c>
      <c r="G8" s="73">
        <v>4250.16</v>
      </c>
      <c r="H8" s="73"/>
      <c r="I8" s="73">
        <v>1850</v>
      </c>
      <c r="J8" s="73">
        <v>2125.08</v>
      </c>
      <c r="K8" s="44"/>
      <c r="L8" s="42" t="s">
        <v>340</v>
      </c>
      <c r="M8" s="42" t="s">
        <v>340</v>
      </c>
      <c r="N8" s="73">
        <v>113820</v>
      </c>
      <c r="O8" s="73">
        <f>+G8*1.03</f>
        <v>4377.6647999999996</v>
      </c>
      <c r="P8" s="73"/>
      <c r="Q8" s="73">
        <v>1850</v>
      </c>
      <c r="R8" s="73">
        <v>2178.38</v>
      </c>
    </row>
    <row r="9" spans="1:18">
      <c r="B9" s="189"/>
      <c r="C9" s="42"/>
      <c r="F9" s="73"/>
      <c r="G9" s="73"/>
      <c r="H9" s="73"/>
      <c r="I9" s="73"/>
      <c r="J9" s="73"/>
      <c r="K9" s="44"/>
      <c r="N9" s="73"/>
      <c r="O9" s="73"/>
      <c r="P9" s="73"/>
      <c r="Q9" s="73"/>
      <c r="R9" s="73"/>
    </row>
    <row r="10" spans="1:18">
      <c r="A10" s="24" t="s">
        <v>343</v>
      </c>
      <c r="B10" s="189">
        <v>41058</v>
      </c>
      <c r="C10" s="42"/>
      <c r="D10" s="42" t="s">
        <v>100</v>
      </c>
      <c r="E10" s="42">
        <v>10</v>
      </c>
      <c r="F10" s="73">
        <v>50923.34</v>
      </c>
      <c r="G10" s="36">
        <v>1958.59</v>
      </c>
      <c r="H10" s="73">
        <v>27.98</v>
      </c>
      <c r="I10" s="73">
        <v>1100</v>
      </c>
      <c r="J10" s="73">
        <v>0</v>
      </c>
      <c r="K10" s="44"/>
      <c r="L10" s="42" t="s">
        <v>95</v>
      </c>
      <c r="M10" s="42">
        <v>1</v>
      </c>
      <c r="N10" s="73">
        <f>+O10*26.125</f>
        <v>56967.391250000008</v>
      </c>
      <c r="O10" s="36">
        <v>2180.5700000000002</v>
      </c>
      <c r="P10" s="73">
        <v>31.15</v>
      </c>
      <c r="Q10" s="73">
        <v>1100</v>
      </c>
      <c r="R10" s="73">
        <v>1090.29</v>
      </c>
    </row>
    <row r="11" spans="1:18">
      <c r="A11" s="24" t="s">
        <v>344</v>
      </c>
      <c r="B11" s="189">
        <v>41821</v>
      </c>
      <c r="C11" s="42"/>
      <c r="D11" s="42" t="s">
        <v>100</v>
      </c>
      <c r="E11" s="42">
        <v>5</v>
      </c>
      <c r="F11" s="73">
        <v>49440.04</v>
      </c>
      <c r="G11" s="36">
        <v>1901.54</v>
      </c>
      <c r="H11" s="73">
        <v>27.16</v>
      </c>
      <c r="I11" s="73">
        <v>900</v>
      </c>
      <c r="J11" s="73">
        <v>0</v>
      </c>
      <c r="K11" s="44"/>
      <c r="L11" s="42" t="s">
        <v>100</v>
      </c>
      <c r="M11" s="42">
        <v>10</v>
      </c>
      <c r="N11" s="73">
        <f t="shared" ref="N11:N13" si="0">+O11*26.125</f>
        <v>51168.16375</v>
      </c>
      <c r="O11" s="36">
        <v>1958.59</v>
      </c>
      <c r="P11" s="73">
        <v>27.98</v>
      </c>
      <c r="Q11" s="73">
        <v>900</v>
      </c>
      <c r="R11" s="73">
        <v>0</v>
      </c>
    </row>
    <row r="12" spans="1:18">
      <c r="A12" s="24" t="s">
        <v>507</v>
      </c>
      <c r="B12" s="189">
        <v>42339</v>
      </c>
      <c r="C12" s="42"/>
      <c r="D12" s="42" t="s">
        <v>100</v>
      </c>
      <c r="E12" s="42">
        <v>5</v>
      </c>
      <c r="F12" s="73">
        <v>49440.04</v>
      </c>
      <c r="G12" s="36">
        <v>1901.54</v>
      </c>
      <c r="H12" s="73">
        <v>27.16</v>
      </c>
      <c r="I12" s="73">
        <v>900</v>
      </c>
      <c r="J12" s="73">
        <v>0</v>
      </c>
      <c r="K12" s="44"/>
      <c r="L12" s="42" t="s">
        <v>100</v>
      </c>
      <c r="M12" s="42">
        <v>5</v>
      </c>
      <c r="N12" s="73">
        <f t="shared" si="0"/>
        <v>49677.732499999998</v>
      </c>
      <c r="O12" s="36">
        <v>1901.54</v>
      </c>
      <c r="P12" s="73">
        <v>27.16</v>
      </c>
      <c r="Q12" s="73">
        <v>900</v>
      </c>
      <c r="R12" s="73">
        <v>0</v>
      </c>
    </row>
    <row r="13" spans="1:18">
      <c r="A13" s="24" t="s">
        <v>544</v>
      </c>
      <c r="B13" s="189">
        <v>43696</v>
      </c>
      <c r="C13" s="42"/>
      <c r="D13" s="42" t="s">
        <v>100</v>
      </c>
      <c r="E13" s="42">
        <v>5</v>
      </c>
      <c r="F13" s="73">
        <v>49440.04</v>
      </c>
      <c r="G13" s="36">
        <v>1901.54</v>
      </c>
      <c r="H13" s="73">
        <v>27.16</v>
      </c>
      <c r="I13" s="73">
        <v>0</v>
      </c>
      <c r="J13" s="73">
        <v>0</v>
      </c>
      <c r="K13" s="44"/>
      <c r="L13" s="42" t="s">
        <v>100</v>
      </c>
      <c r="M13" s="42">
        <v>5</v>
      </c>
      <c r="N13" s="73">
        <f t="shared" si="0"/>
        <v>49677.732499999998</v>
      </c>
      <c r="O13" s="36">
        <v>1901.54</v>
      </c>
      <c r="P13" s="73">
        <v>27.16</v>
      </c>
      <c r="Q13" s="73">
        <v>900</v>
      </c>
      <c r="R13" s="73">
        <v>0</v>
      </c>
    </row>
    <row r="14" spans="1:18">
      <c r="B14" s="189"/>
      <c r="C14" s="42"/>
      <c r="D14" s="42"/>
      <c r="E14" s="42"/>
      <c r="F14" s="73"/>
      <c r="G14" s="36"/>
      <c r="H14" s="73"/>
      <c r="I14" s="73"/>
      <c r="J14" s="73"/>
      <c r="K14" s="44"/>
      <c r="L14" s="42"/>
      <c r="M14" s="42"/>
      <c r="N14" s="73"/>
      <c r="O14" s="36"/>
      <c r="P14" s="73"/>
      <c r="Q14" s="73"/>
      <c r="R14" s="73">
        <v>0</v>
      </c>
    </row>
    <row r="15" spans="1:18">
      <c r="B15" s="189"/>
      <c r="C15" s="42"/>
      <c r="D15" s="42"/>
      <c r="E15" s="42"/>
      <c r="F15" s="73"/>
      <c r="G15" s="36"/>
      <c r="H15" s="73"/>
      <c r="I15" s="73"/>
      <c r="J15" s="73"/>
      <c r="K15" s="44"/>
      <c r="L15" s="42"/>
      <c r="M15" s="42"/>
      <c r="N15" s="73"/>
      <c r="O15" s="36"/>
      <c r="P15" s="73"/>
      <c r="Q15" s="73"/>
      <c r="R15" s="73"/>
    </row>
    <row r="16" spans="1:18">
      <c r="A16" s="40" t="s">
        <v>96</v>
      </c>
      <c r="B16" s="42"/>
      <c r="F16" s="73"/>
      <c r="G16" s="73"/>
      <c r="H16" s="73"/>
      <c r="I16" s="73"/>
      <c r="J16" s="73"/>
      <c r="K16" s="53"/>
      <c r="N16" s="73"/>
      <c r="O16" s="73"/>
      <c r="P16" s="73"/>
      <c r="Q16" s="73"/>
      <c r="R16" s="73"/>
    </row>
    <row r="17" spans="1:14">
      <c r="A17" s="24" t="s">
        <v>45</v>
      </c>
      <c r="B17" s="42"/>
      <c r="F17" s="36">
        <f>ROUND(F8,0)</f>
        <v>110504</v>
      </c>
      <c r="K17" s="53"/>
      <c r="N17" s="36">
        <f>ROUND(N8,0)</f>
        <v>113820</v>
      </c>
    </row>
    <row r="18" spans="1:14">
      <c r="A18" s="24" t="s">
        <v>46</v>
      </c>
      <c r="B18" s="42"/>
      <c r="F18" s="36">
        <v>221243</v>
      </c>
      <c r="K18" s="53"/>
      <c r="N18" s="36">
        <f>ROUND(SUM(N10:N14),0)</f>
        <v>207491</v>
      </c>
    </row>
    <row r="19" spans="1:14">
      <c r="A19" s="24" t="s">
        <v>408</v>
      </c>
      <c r="B19" s="42"/>
      <c r="F19" s="36">
        <v>10400</v>
      </c>
      <c r="K19" s="53"/>
      <c r="N19" s="36">
        <v>10400</v>
      </c>
    </row>
    <row r="20" spans="1:14">
      <c r="A20" s="24" t="s">
        <v>91</v>
      </c>
      <c r="B20" s="42"/>
      <c r="F20" s="36">
        <v>4750</v>
      </c>
      <c r="K20" s="53"/>
      <c r="N20" s="36">
        <f>SUM(Q8:Q14)</f>
        <v>5650</v>
      </c>
    </row>
    <row r="21" spans="1:14">
      <c r="A21" s="24" t="s">
        <v>345</v>
      </c>
      <c r="B21" s="42"/>
      <c r="F21" s="36">
        <f>ROUND(J8,0)</f>
        <v>2125</v>
      </c>
      <c r="K21" s="53"/>
      <c r="N21" s="36">
        <f>ROUND(R8+R10,0)</f>
        <v>3269</v>
      </c>
    </row>
    <row r="22" spans="1:14">
      <c r="A22" s="24" t="s">
        <v>52</v>
      </c>
      <c r="B22" s="42"/>
      <c r="F22" s="36">
        <v>0</v>
      </c>
      <c r="K22" s="53"/>
      <c r="N22" s="36">
        <f>ROUND(N18*0.02,0)</f>
        <v>4150</v>
      </c>
    </row>
    <row r="23" spans="1:14">
      <c r="B23" s="42"/>
      <c r="F23" s="36"/>
      <c r="K23" s="53"/>
      <c r="N23" s="36"/>
    </row>
    <row r="24" spans="1:14">
      <c r="A24" s="42" t="s">
        <v>337</v>
      </c>
      <c r="C24" s="193"/>
      <c r="D24" s="193"/>
      <c r="E24" s="193"/>
      <c r="F24" s="193">
        <f>SUM(F17:F22)</f>
        <v>349022</v>
      </c>
      <c r="K24" s="196"/>
      <c r="L24" s="193"/>
      <c r="M24" s="193"/>
      <c r="N24" s="193">
        <f>SUM(N17:N22)</f>
        <v>344780</v>
      </c>
    </row>
    <row r="25" spans="1:14">
      <c r="F25" s="36"/>
      <c r="N25" s="36"/>
    </row>
    <row r="26" spans="1:14">
      <c r="B26" s="42"/>
      <c r="F26" s="60" t="s">
        <v>626</v>
      </c>
      <c r="N26" s="60" t="s">
        <v>666</v>
      </c>
    </row>
    <row r="27" spans="1:14">
      <c r="B27" s="42"/>
      <c r="F27" s="60" t="s">
        <v>625</v>
      </c>
      <c r="N27" s="60" t="s">
        <v>664</v>
      </c>
    </row>
    <row r="28" spans="1:14">
      <c r="B28" s="42"/>
      <c r="F28" s="313" t="s">
        <v>97</v>
      </c>
      <c r="G28" s="62"/>
      <c r="H28" s="62"/>
      <c r="I28" s="62"/>
      <c r="K28" s="62"/>
      <c r="L28" s="62"/>
      <c r="M28" s="62"/>
      <c r="N28" s="313" t="s">
        <v>97</v>
      </c>
    </row>
    <row r="29" spans="1:14">
      <c r="B29" s="42"/>
      <c r="F29" s="60"/>
      <c r="N29" s="60"/>
    </row>
    <row r="30" spans="1:14">
      <c r="B30" s="42"/>
    </row>
    <row r="40" spans="2:2">
      <c r="B40" s="55"/>
    </row>
  </sheetData>
  <phoneticPr fontId="0" type="noConversion"/>
  <printOptions horizontalCentered="1" gridLines="1"/>
  <pageMargins left="0.45" right="0.35" top="0.75" bottom="1" header="0.3" footer="0.3"/>
  <pageSetup scale="76" orientation="landscape" r:id="rId1"/>
  <headerFooter>
    <oddFooter>&amp;L&amp;D FY25 Budget&amp;CPage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workbookViewId="0">
      <selection activeCell="H15" sqref="H15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9" width="14.42578125" style="36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488</v>
      </c>
      <c r="H2" s="314"/>
      <c r="I2" s="314"/>
    </row>
    <row r="3" spans="1:9">
      <c r="A3" s="30" t="s">
        <v>674</v>
      </c>
      <c r="H3" s="314"/>
      <c r="I3" s="314"/>
    </row>
    <row r="4" spans="1:9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9">
      <c r="A6" s="34" t="s">
        <v>38</v>
      </c>
    </row>
    <row r="7" spans="1:9">
      <c r="A7" s="74" t="s">
        <v>1</v>
      </c>
      <c r="B7" s="24" t="s">
        <v>45</v>
      </c>
      <c r="D7" s="68">
        <v>112978</v>
      </c>
      <c r="E7" s="68">
        <v>117287</v>
      </c>
      <c r="F7" s="67">
        <v>120726</v>
      </c>
      <c r="G7" s="67">
        <f>'Pers 151'!N15</f>
        <v>0</v>
      </c>
      <c r="H7" s="67">
        <v>0</v>
      </c>
      <c r="I7" s="67"/>
    </row>
    <row r="8" spans="1:9">
      <c r="A8" s="74">
        <v>5142</v>
      </c>
      <c r="B8" s="24" t="s">
        <v>91</v>
      </c>
      <c r="D8" s="68">
        <v>2000</v>
      </c>
      <c r="E8" s="68">
        <v>2000</v>
      </c>
      <c r="F8" s="67">
        <v>2000</v>
      </c>
      <c r="G8" s="67">
        <f>'Pers 151'!N16</f>
        <v>0</v>
      </c>
      <c r="H8" s="67">
        <v>0</v>
      </c>
      <c r="I8" s="67"/>
    </row>
    <row r="9" spans="1:9">
      <c r="A9" s="74">
        <v>5190</v>
      </c>
      <c r="B9" s="24" t="s">
        <v>51</v>
      </c>
      <c r="D9" s="68">
        <v>15000</v>
      </c>
      <c r="E9" s="68">
        <v>15000</v>
      </c>
      <c r="F9" s="67">
        <v>15450</v>
      </c>
      <c r="G9" s="67">
        <f>'Pers 151'!N18</f>
        <v>0</v>
      </c>
      <c r="H9" s="67">
        <v>0</v>
      </c>
      <c r="I9" s="67"/>
    </row>
    <row r="10" spans="1:9">
      <c r="A10" s="74">
        <v>5192</v>
      </c>
      <c r="B10" s="24" t="s">
        <v>342</v>
      </c>
      <c r="D10" s="68">
        <v>2091</v>
      </c>
      <c r="E10" s="68">
        <v>2256</v>
      </c>
      <c r="F10" s="67">
        <v>2322</v>
      </c>
      <c r="G10" s="67">
        <f>'Pers 151'!N17</f>
        <v>0</v>
      </c>
      <c r="H10" s="67">
        <v>0</v>
      </c>
      <c r="I10" s="67"/>
    </row>
    <row r="11" spans="1:9">
      <c r="A11" s="74">
        <v>5195</v>
      </c>
      <c r="B11" s="24" t="s">
        <v>52</v>
      </c>
      <c r="D11" s="68">
        <v>0</v>
      </c>
      <c r="E11" s="68">
        <v>0</v>
      </c>
      <c r="F11" s="67">
        <v>0</v>
      </c>
      <c r="G11" s="67">
        <f>'Pers 151'!N19</f>
        <v>0</v>
      </c>
      <c r="H11" s="67">
        <v>0</v>
      </c>
      <c r="I11" s="67"/>
    </row>
    <row r="12" spans="1:9">
      <c r="A12" s="35"/>
      <c r="D12" s="94">
        <f t="shared" ref="D12:I12" si="0">SUM(D7:D11)</f>
        <v>132069</v>
      </c>
      <c r="E12" s="94">
        <f t="shared" si="0"/>
        <v>136543</v>
      </c>
      <c r="F12" s="79">
        <f t="shared" si="0"/>
        <v>140498</v>
      </c>
      <c r="G12" s="79">
        <f t="shared" si="0"/>
        <v>0</v>
      </c>
      <c r="H12" s="79">
        <f>SUM(H7:H11)</f>
        <v>0</v>
      </c>
      <c r="I12" s="79">
        <f t="shared" si="0"/>
        <v>0</v>
      </c>
    </row>
    <row r="13" spans="1:9" customFormat="1">
      <c r="D13" s="91"/>
      <c r="E13" s="91"/>
    </row>
    <row r="14" spans="1:9">
      <c r="A14" s="35" t="s">
        <v>16</v>
      </c>
      <c r="B14" s="24" t="s">
        <v>56</v>
      </c>
      <c r="D14" s="68">
        <v>3386</v>
      </c>
      <c r="E14" s="68">
        <v>28109</v>
      </c>
      <c r="F14" s="67">
        <v>5000</v>
      </c>
      <c r="G14" s="67">
        <v>300000</v>
      </c>
      <c r="H14" s="67">
        <v>300000</v>
      </c>
      <c r="I14" s="67"/>
    </row>
    <row r="15" spans="1:9">
      <c r="A15" s="35" t="s">
        <v>18</v>
      </c>
      <c r="B15" s="24" t="s">
        <v>58</v>
      </c>
      <c r="D15" s="68">
        <v>410</v>
      </c>
      <c r="E15" s="68">
        <v>225</v>
      </c>
      <c r="F15" s="67">
        <v>0</v>
      </c>
      <c r="G15" s="67">
        <v>0</v>
      </c>
      <c r="H15" s="67">
        <v>0</v>
      </c>
      <c r="I15" s="67"/>
    </row>
    <row r="16" spans="1:9">
      <c r="A16" s="35" t="s">
        <v>20</v>
      </c>
      <c r="B16" s="24" t="s">
        <v>59</v>
      </c>
      <c r="D16" s="68">
        <v>0</v>
      </c>
      <c r="E16" s="68">
        <v>0</v>
      </c>
      <c r="F16" s="67">
        <v>0</v>
      </c>
      <c r="G16" s="67">
        <v>0</v>
      </c>
      <c r="H16" s="67">
        <v>0</v>
      </c>
      <c r="I16" s="67"/>
    </row>
    <row r="17" spans="1:59">
      <c r="A17" s="35"/>
      <c r="D17" s="94">
        <f t="shared" ref="D17:I17" si="1">SUM(D14:D16)</f>
        <v>3796</v>
      </c>
      <c r="E17" s="94">
        <f t="shared" si="1"/>
        <v>28334</v>
      </c>
      <c r="F17" s="79">
        <f>SUM(F14:F16)</f>
        <v>5000</v>
      </c>
      <c r="G17" s="79">
        <f>SUM(G14:G16)</f>
        <v>300000</v>
      </c>
      <c r="H17" s="79">
        <f>SUM(H14:H16)</f>
        <v>300000</v>
      </c>
      <c r="I17" s="79">
        <f t="shared" si="1"/>
        <v>0</v>
      </c>
    </row>
    <row r="18" spans="1:59">
      <c r="A18" s="35"/>
      <c r="D18" s="68"/>
      <c r="E18" s="68"/>
      <c r="F18" s="67"/>
      <c r="G18" s="67"/>
      <c r="H18" s="67"/>
      <c r="I18" s="67"/>
    </row>
    <row r="19" spans="1:59">
      <c r="A19" s="30" t="s">
        <v>43</v>
      </c>
      <c r="B19" s="24" t="s">
        <v>0</v>
      </c>
      <c r="D19" s="68" t="s">
        <v>0</v>
      </c>
      <c r="E19" s="68" t="s">
        <v>0</v>
      </c>
      <c r="F19" s="67" t="s">
        <v>0</v>
      </c>
      <c r="G19" s="67" t="s">
        <v>0</v>
      </c>
      <c r="H19" s="67" t="s">
        <v>0</v>
      </c>
      <c r="I19" s="67" t="s">
        <v>0</v>
      </c>
    </row>
    <row r="20" spans="1:59">
      <c r="A20" s="35" t="s">
        <v>21</v>
      </c>
      <c r="B20" s="24" t="s">
        <v>60</v>
      </c>
      <c r="D20" s="68">
        <v>414</v>
      </c>
      <c r="E20" s="68">
        <v>0</v>
      </c>
      <c r="F20" s="67">
        <v>1000</v>
      </c>
      <c r="G20" s="67">
        <v>0</v>
      </c>
      <c r="H20" s="67">
        <v>0</v>
      </c>
      <c r="I20" s="67"/>
    </row>
    <row r="21" spans="1:59">
      <c r="A21" s="35" t="s">
        <v>30</v>
      </c>
      <c r="B21" s="24" t="s">
        <v>69</v>
      </c>
      <c r="D21" s="68">
        <v>300</v>
      </c>
      <c r="E21" s="68">
        <v>64</v>
      </c>
      <c r="F21" s="67">
        <v>300</v>
      </c>
      <c r="G21" s="67">
        <v>0</v>
      </c>
      <c r="H21" s="67">
        <v>0</v>
      </c>
      <c r="I21" s="67"/>
    </row>
    <row r="22" spans="1:59">
      <c r="A22" s="35"/>
      <c r="D22" s="94">
        <f t="shared" ref="D22:I22" si="2">SUM(D20:D21)</f>
        <v>714</v>
      </c>
      <c r="E22" s="94">
        <f t="shared" si="2"/>
        <v>64</v>
      </c>
      <c r="F22" s="79">
        <f>SUM(F20:F21)</f>
        <v>1300</v>
      </c>
      <c r="G22" s="79">
        <f>SUM(G20:G21)</f>
        <v>0</v>
      </c>
      <c r="H22" s="79">
        <f>SUM(H20:H21)</f>
        <v>0</v>
      </c>
      <c r="I22" s="79">
        <f t="shared" si="2"/>
        <v>0</v>
      </c>
    </row>
    <row r="23" spans="1:59">
      <c r="A23" s="35"/>
      <c r="D23" s="68"/>
      <c r="E23" s="68"/>
      <c r="F23" s="67"/>
      <c r="G23" s="67"/>
      <c r="H23" s="67"/>
      <c r="I23" s="67"/>
    </row>
    <row r="24" spans="1:59">
      <c r="A24" s="30" t="s">
        <v>39</v>
      </c>
      <c r="D24" s="68"/>
      <c r="E24" s="68"/>
      <c r="F24" s="67"/>
      <c r="G24" s="67"/>
      <c r="H24" s="67"/>
      <c r="I24" s="67"/>
    </row>
    <row r="25" spans="1:59">
      <c r="A25" s="35" t="s">
        <v>31</v>
      </c>
      <c r="B25" s="24" t="s">
        <v>553</v>
      </c>
      <c r="D25" s="68">
        <v>292</v>
      </c>
      <c r="E25" s="68">
        <v>43</v>
      </c>
      <c r="F25" s="67">
        <v>100</v>
      </c>
      <c r="G25" s="67">
        <v>0</v>
      </c>
      <c r="H25" s="67">
        <v>0</v>
      </c>
      <c r="I25" s="67"/>
    </row>
    <row r="26" spans="1:59">
      <c r="A26" s="35" t="s">
        <v>33</v>
      </c>
      <c r="B26" s="24" t="s">
        <v>71</v>
      </c>
      <c r="D26" s="68">
        <v>480</v>
      </c>
      <c r="E26" s="68">
        <v>480</v>
      </c>
      <c r="F26" s="67">
        <v>500</v>
      </c>
      <c r="G26" s="67">
        <v>0</v>
      </c>
      <c r="H26" s="67">
        <v>0</v>
      </c>
      <c r="I26" s="67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>
      <c r="A27" s="35" t="s">
        <v>34</v>
      </c>
      <c r="B27" s="24" t="s">
        <v>253</v>
      </c>
      <c r="D27" s="68">
        <v>0</v>
      </c>
      <c r="E27" s="68">
        <v>0</v>
      </c>
      <c r="F27" s="67">
        <v>500</v>
      </c>
      <c r="G27" s="67">
        <v>0</v>
      </c>
      <c r="H27" s="67">
        <v>0</v>
      </c>
      <c r="I27" s="67"/>
      <c r="AT27" s="62"/>
      <c r="AU27" s="62"/>
      <c r="AV27" s="62"/>
      <c r="AW27" s="62"/>
    </row>
    <row r="28" spans="1:59">
      <c r="A28" s="35" t="s">
        <v>35</v>
      </c>
      <c r="B28" s="24" t="s">
        <v>75</v>
      </c>
      <c r="D28" s="68">
        <v>0</v>
      </c>
      <c r="E28" s="68">
        <v>0</v>
      </c>
      <c r="F28" s="67">
        <v>0</v>
      </c>
      <c r="G28" s="67">
        <v>0</v>
      </c>
      <c r="H28" s="67">
        <v>0</v>
      </c>
      <c r="I28" s="67"/>
    </row>
    <row r="29" spans="1:59">
      <c r="A29" s="35"/>
      <c r="D29" s="94">
        <f t="shared" ref="D29:I29" si="3">SUM(D25:D28)</f>
        <v>772</v>
      </c>
      <c r="E29" s="94">
        <f t="shared" si="3"/>
        <v>523</v>
      </c>
      <c r="F29" s="79">
        <f>SUM(F25:F28)</f>
        <v>1100</v>
      </c>
      <c r="G29" s="79">
        <f>SUM(G25:G28)</f>
        <v>0</v>
      </c>
      <c r="H29" s="79">
        <f>SUM(H25:H28)</f>
        <v>0</v>
      </c>
      <c r="I29" s="79">
        <f t="shared" si="3"/>
        <v>0</v>
      </c>
    </row>
    <row r="30" spans="1:59">
      <c r="A30" s="35"/>
      <c r="D30" s="68"/>
      <c r="E30" s="68"/>
      <c r="F30" s="67"/>
      <c r="G30" s="67"/>
      <c r="H30" s="67"/>
      <c r="I30" s="67"/>
    </row>
    <row r="31" spans="1:59">
      <c r="D31" s="68"/>
      <c r="E31" s="68"/>
      <c r="F31" s="67"/>
      <c r="G31" s="67"/>
      <c r="H31" s="67"/>
      <c r="I31" s="67"/>
    </row>
    <row r="32" spans="1:59">
      <c r="A32" s="30" t="s">
        <v>40</v>
      </c>
      <c r="D32" s="210">
        <f t="shared" ref="D32:I32" si="4">SUM(D7:D29)/2</f>
        <v>137351</v>
      </c>
      <c r="E32" s="210">
        <f t="shared" si="4"/>
        <v>165464</v>
      </c>
      <c r="F32" s="210">
        <f t="shared" si="4"/>
        <v>147898</v>
      </c>
      <c r="G32" s="210">
        <f>SUM(G7:G29)/2</f>
        <v>300000</v>
      </c>
      <c r="H32" s="210">
        <f>SUM(H7:H29)/2</f>
        <v>300000</v>
      </c>
      <c r="I32" s="210">
        <f t="shared" si="4"/>
        <v>0</v>
      </c>
    </row>
    <row r="33" spans="4:9" customFormat="1">
      <c r="D33" s="91"/>
      <c r="E33" s="91"/>
    </row>
    <row r="34" spans="4:9" customFormat="1">
      <c r="D34" s="372"/>
      <c r="E34" s="375"/>
      <c r="F34" s="185"/>
      <c r="G34" s="202"/>
    </row>
    <row r="35" spans="4:9" customFormat="1">
      <c r="D35" s="91"/>
      <c r="E35" s="91"/>
    </row>
    <row r="36" spans="4:9">
      <c r="D36" s="68"/>
      <c r="E36" s="68"/>
      <c r="F36" s="67"/>
      <c r="G36" s="67"/>
      <c r="H36" s="67"/>
      <c r="I36" s="67"/>
    </row>
    <row r="37" spans="4:9">
      <c r="D37" s="68"/>
      <c r="E37" s="68"/>
      <c r="F37" s="67"/>
      <c r="G37" s="67"/>
      <c r="H37" s="67"/>
      <c r="I37" s="67"/>
    </row>
    <row r="38" spans="4:9">
      <c r="D38" s="68"/>
      <c r="E38" s="68"/>
      <c r="F38" s="67"/>
      <c r="G38" s="67"/>
      <c r="H38" s="67"/>
      <c r="I38" s="67"/>
    </row>
    <row r="39" spans="4:9">
      <c r="D39" s="68"/>
      <c r="E39" s="68"/>
      <c r="F39" s="67"/>
      <c r="G39" s="67"/>
      <c r="H39" s="67"/>
      <c r="I39" s="67"/>
    </row>
    <row r="40" spans="4:9">
      <c r="D40" s="68"/>
      <c r="E40" s="68"/>
      <c r="F40" s="67"/>
      <c r="G40" s="67"/>
      <c r="H40" s="67"/>
      <c r="I40" s="67"/>
    </row>
    <row r="41" spans="4:9">
      <c r="D41" s="68"/>
      <c r="E41" s="68"/>
      <c r="F41" s="67"/>
      <c r="G41" s="67"/>
      <c r="H41" s="67"/>
      <c r="I41" s="67"/>
    </row>
    <row r="42" spans="4:9">
      <c r="D42" s="68"/>
      <c r="E42" s="68"/>
      <c r="F42" s="67"/>
      <c r="G42" s="67"/>
      <c r="H42" s="67"/>
      <c r="I42" s="67"/>
    </row>
    <row r="43" spans="4:9">
      <c r="D43" s="68"/>
      <c r="E43" s="68"/>
      <c r="F43" s="67"/>
      <c r="G43" s="67"/>
      <c r="H43" s="67"/>
      <c r="I43" s="67"/>
    </row>
    <row r="44" spans="4:9">
      <c r="D44" s="68"/>
      <c r="E44" s="68"/>
      <c r="F44" s="67"/>
      <c r="G44" s="67"/>
      <c r="H44" s="67"/>
      <c r="I44" s="67"/>
    </row>
    <row r="45" spans="4:9">
      <c r="D45" s="68"/>
      <c r="E45" s="68"/>
      <c r="F45" s="67"/>
      <c r="G45" s="67"/>
      <c r="H45" s="67"/>
      <c r="I45" s="67"/>
    </row>
    <row r="46" spans="4:9">
      <c r="D46" s="68"/>
      <c r="E46" s="68"/>
      <c r="F46" s="67"/>
      <c r="G46" s="67"/>
      <c r="H46" s="67"/>
      <c r="I46" s="67"/>
    </row>
    <row r="47" spans="4:9">
      <c r="D47" s="68"/>
      <c r="E47" s="68"/>
      <c r="F47" s="67"/>
      <c r="G47" s="67"/>
      <c r="H47" s="67"/>
      <c r="I47" s="67"/>
    </row>
    <row r="48" spans="4:9">
      <c r="D48" s="68"/>
      <c r="E48" s="68"/>
      <c r="F48" s="67"/>
      <c r="G48" s="67"/>
      <c r="H48" s="67"/>
      <c r="I48" s="67"/>
    </row>
    <row r="49" spans="4:9">
      <c r="D49" s="68"/>
      <c r="E49" s="68"/>
      <c r="F49" s="67"/>
      <c r="G49" s="67"/>
      <c r="H49" s="67"/>
      <c r="I49" s="67"/>
    </row>
  </sheetData>
  <phoneticPr fontId="0" type="noConversion"/>
  <printOptions horizontalCentered="1"/>
  <pageMargins left="0.45" right="0.35" top="0.75" bottom="1" header="0.3" footer="0.3"/>
  <pageSetup scale="98" orientation="landscape" r:id="rId1"/>
  <headerFooter>
    <oddFooter xml:space="preserve">&amp;L&amp;D FY25 Budget&amp;CPage 11
</oddFooter>
  </headerFooter>
  <ignoredErrors>
    <ignoredError sqref="A15:A21 A7 A12 A1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>
      <selection activeCell="C5" sqref="C5"/>
    </sheetView>
  </sheetViews>
  <sheetFormatPr defaultColWidth="9" defaultRowHeight="15"/>
  <cols>
    <col min="1" max="1" width="10.42578125" style="24" customWidth="1"/>
    <col min="2" max="2" width="9.42578125" style="24" customWidth="1"/>
    <col min="3" max="5" width="6.5703125" style="24" customWidth="1"/>
    <col min="6" max="6" width="12.42578125" style="24" customWidth="1"/>
    <col min="7" max="7" width="12.42578125" style="24" hidden="1" customWidth="1"/>
    <col min="8" max="10" width="12.42578125" style="24" customWidth="1"/>
    <col min="11" max="13" width="9" style="24"/>
    <col min="14" max="18" width="12.5703125" style="24" customWidth="1"/>
    <col min="19" max="16384" width="9" style="24"/>
  </cols>
  <sheetData>
    <row r="1" spans="1:19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>
      <c r="A2" s="40" t="s">
        <v>42</v>
      </c>
      <c r="B2" s="41" t="s">
        <v>110</v>
      </c>
      <c r="K2" s="334"/>
    </row>
    <row r="3" spans="1:19">
      <c r="B3" s="42"/>
      <c r="K3" s="53"/>
    </row>
    <row r="4" spans="1:19">
      <c r="B4" s="42"/>
      <c r="K4" s="53"/>
    </row>
    <row r="5" spans="1:19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3" t="s">
        <v>662</v>
      </c>
      <c r="N5" s="43"/>
      <c r="O5" s="45"/>
      <c r="P5" s="45"/>
      <c r="Q5" s="45"/>
      <c r="R5" s="45"/>
    </row>
    <row r="6" spans="1:19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9">
      <c r="B7" s="42"/>
      <c r="K7" s="53"/>
    </row>
    <row r="8" spans="1:19">
      <c r="A8" s="24" t="s">
        <v>45</v>
      </c>
      <c r="B8" s="42"/>
      <c r="K8" s="53"/>
    </row>
    <row r="9" spans="1:19">
      <c r="A9" s="24" t="s">
        <v>468</v>
      </c>
      <c r="B9" s="51">
        <v>28632</v>
      </c>
      <c r="C9" s="42">
        <v>45</v>
      </c>
      <c r="D9" s="42" t="s">
        <v>340</v>
      </c>
      <c r="E9" s="42" t="s">
        <v>340</v>
      </c>
      <c r="F9" s="36">
        <v>120725.54</v>
      </c>
      <c r="G9" s="36">
        <v>4643.29</v>
      </c>
      <c r="H9" s="46" t="s">
        <v>93</v>
      </c>
      <c r="I9" s="36">
        <v>2000</v>
      </c>
      <c r="J9" s="36">
        <v>2321.65</v>
      </c>
      <c r="K9" s="44"/>
      <c r="L9" s="42"/>
      <c r="M9" s="42"/>
      <c r="N9" s="36"/>
      <c r="O9" s="36"/>
      <c r="P9" s="46"/>
      <c r="Q9" s="36"/>
      <c r="R9" s="36"/>
    </row>
    <row r="10" spans="1:19">
      <c r="B10" s="51"/>
      <c r="F10" s="36"/>
      <c r="G10" s="36"/>
      <c r="H10" s="36"/>
      <c r="I10" s="36"/>
      <c r="J10" s="36"/>
      <c r="K10" s="53"/>
      <c r="N10" s="36"/>
      <c r="O10" s="36"/>
      <c r="P10" s="36"/>
      <c r="Q10" s="36"/>
      <c r="R10" s="36"/>
    </row>
    <row r="11" spans="1:19">
      <c r="A11" s="24" t="s">
        <v>51</v>
      </c>
      <c r="B11" s="42"/>
      <c r="K11" s="53"/>
    </row>
    <row r="12" spans="1:19">
      <c r="B12" s="42"/>
      <c r="F12" s="36">
        <f>1250*12</f>
        <v>15000</v>
      </c>
      <c r="K12" s="53"/>
      <c r="N12" s="36"/>
    </row>
    <row r="13" spans="1:19">
      <c r="K13" s="53"/>
    </row>
    <row r="14" spans="1:19">
      <c r="A14" s="40" t="s">
        <v>96</v>
      </c>
      <c r="B14" s="42"/>
      <c r="F14" s="36"/>
      <c r="K14" s="53"/>
      <c r="N14" s="36"/>
    </row>
    <row r="15" spans="1:19">
      <c r="A15" s="24" t="s">
        <v>45</v>
      </c>
      <c r="B15" s="42"/>
      <c r="F15" s="36">
        <v>120726</v>
      </c>
      <c r="K15" s="53"/>
      <c r="N15" s="36">
        <f>ROUNDUP(N9,0)</f>
        <v>0</v>
      </c>
    </row>
    <row r="16" spans="1:19">
      <c r="A16" s="24" t="s">
        <v>91</v>
      </c>
      <c r="B16" s="42"/>
      <c r="F16" s="36">
        <f>+I9</f>
        <v>2000</v>
      </c>
      <c r="K16" s="53"/>
      <c r="N16" s="36">
        <f>+Q9</f>
        <v>0</v>
      </c>
    </row>
    <row r="17" spans="1:14">
      <c r="A17" s="24" t="s">
        <v>342</v>
      </c>
      <c r="B17" s="42"/>
      <c r="F17" s="36">
        <v>2322</v>
      </c>
      <c r="K17" s="53"/>
      <c r="N17" s="36">
        <f>ROUNDUP(R9,0)</f>
        <v>0</v>
      </c>
    </row>
    <row r="18" spans="1:14">
      <c r="A18" s="24" t="s">
        <v>51</v>
      </c>
      <c r="B18" s="42"/>
      <c r="F18" s="54">
        <v>15450</v>
      </c>
      <c r="K18" s="53"/>
      <c r="N18" s="54">
        <v>0</v>
      </c>
    </row>
    <row r="19" spans="1:14">
      <c r="A19" s="24" t="s">
        <v>52</v>
      </c>
      <c r="B19" s="42"/>
      <c r="F19" s="54">
        <v>0</v>
      </c>
      <c r="K19" s="53"/>
      <c r="N19" s="54">
        <v>0</v>
      </c>
    </row>
    <row r="20" spans="1:14">
      <c r="B20" s="42"/>
      <c r="F20" s="54"/>
      <c r="K20" s="53"/>
      <c r="N20" s="54"/>
    </row>
    <row r="21" spans="1:14">
      <c r="A21" s="42" t="s">
        <v>337</v>
      </c>
      <c r="B21" s="42"/>
      <c r="C21" s="193"/>
      <c r="D21" s="193"/>
      <c r="E21" s="193"/>
      <c r="F21" s="193">
        <f>SUM(F15:F19)</f>
        <v>140498</v>
      </c>
      <c r="K21" s="196"/>
      <c r="L21" s="193"/>
      <c r="M21" s="193"/>
      <c r="N21" s="193">
        <f>SUM(N15:N19)</f>
        <v>0</v>
      </c>
    </row>
    <row r="23" spans="1:14">
      <c r="B23" s="42"/>
    </row>
    <row r="24" spans="1:14">
      <c r="B24" s="42"/>
      <c r="F24" s="60" t="s">
        <v>626</v>
      </c>
      <c r="M24" s="60" t="s">
        <v>666</v>
      </c>
    </row>
    <row r="25" spans="1:14">
      <c r="B25" s="42"/>
      <c r="F25" s="60" t="s">
        <v>625</v>
      </c>
      <c r="M25" s="60" t="s">
        <v>664</v>
      </c>
    </row>
    <row r="26" spans="1:14">
      <c r="B26" s="42"/>
      <c r="F26" s="313" t="s">
        <v>97</v>
      </c>
      <c r="G26" s="62"/>
      <c r="H26" s="62"/>
      <c r="I26" s="62"/>
      <c r="K26" s="62"/>
      <c r="L26" s="62"/>
      <c r="M26" s="313" t="s">
        <v>97</v>
      </c>
      <c r="N26" s="62"/>
    </row>
    <row r="27" spans="1:14">
      <c r="B27" s="42"/>
    </row>
  </sheetData>
  <phoneticPr fontId="0" type="noConversion"/>
  <printOptions horizontalCentered="1" gridLines="1"/>
  <pageMargins left="0.45" right="0.35" top="0.75" bottom="1" header="0.3" footer="0.3"/>
  <pageSetup scale="72" orientation="landscape" r:id="rId1"/>
  <headerFooter>
    <oddFooter>&amp;L&amp;D FY25 Budget&amp;CPage 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3"/>
  <sheetViews>
    <sheetView showWhiteSpace="0" workbookViewId="0">
      <selection activeCell="L18" sqref="L18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7" width="14.42578125" style="24" hidden="1" customWidth="1"/>
    <col min="8" max="13" width="14.42578125" style="24" customWidth="1"/>
    <col min="14" max="14" width="6.28515625" style="24" customWidth="1"/>
    <col min="15" max="16384" width="9" style="24"/>
  </cols>
  <sheetData>
    <row r="1" spans="1:15" s="2" customFormat="1">
      <c r="A1" s="1" t="str">
        <f>+Summary!A1</f>
        <v>Fiscal Year 2025 Budget Worksheet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>
      <c r="A2" s="30" t="s">
        <v>80</v>
      </c>
    </row>
    <row r="3" spans="1:15">
      <c r="A3" s="30" t="s">
        <v>543</v>
      </c>
    </row>
    <row r="4" spans="1:15">
      <c r="A4" s="30" t="s">
        <v>675</v>
      </c>
    </row>
    <row r="5" spans="1:15" ht="43.5" customHeight="1">
      <c r="A5" s="31"/>
      <c r="B5" s="32" t="s">
        <v>41</v>
      </c>
      <c r="C5" s="33" t="s">
        <v>0</v>
      </c>
      <c r="D5" s="33" t="e">
        <f>+#REF!</f>
        <v>#REF!</v>
      </c>
      <c r="E5" s="33" t="e">
        <f>+#REF!</f>
        <v>#REF!</v>
      </c>
      <c r="F5" s="33" t="e">
        <f>+#REF!</f>
        <v>#REF!</v>
      </c>
      <c r="G5" s="33" t="e">
        <f>+#REF!</f>
        <v>#REF!</v>
      </c>
      <c r="H5" s="421" t="str">
        <f>+'Dept 122'!D4</f>
        <v>FY22 Actual</v>
      </c>
      <c r="I5" s="421" t="str">
        <f>+'Dept 122'!E4</f>
        <v>FY23 Actual</v>
      </c>
      <c r="J5" s="421" t="str">
        <f>+'Dept 122'!F4</f>
        <v>FY24 Budget</v>
      </c>
      <c r="K5" s="421" t="str">
        <f>+'Dept 122'!G4</f>
        <v>FY25 Request</v>
      </c>
      <c r="L5" s="33" t="s">
        <v>81</v>
      </c>
      <c r="M5" s="33" t="s">
        <v>82</v>
      </c>
    </row>
    <row r="7" spans="1:15">
      <c r="A7" s="34" t="s">
        <v>38</v>
      </c>
      <c r="D7" s="35"/>
    </row>
    <row r="8" spans="1:15">
      <c r="A8" s="35" t="s">
        <v>1</v>
      </c>
      <c r="B8" s="24" t="s">
        <v>45</v>
      </c>
      <c r="D8" s="36">
        <v>35946</v>
      </c>
      <c r="E8" s="67">
        <v>36744</v>
      </c>
      <c r="F8" s="67">
        <v>26727</v>
      </c>
      <c r="G8" s="67">
        <v>43302</v>
      </c>
      <c r="H8" s="67">
        <v>0</v>
      </c>
      <c r="I8" s="67">
        <v>0</v>
      </c>
      <c r="J8" s="67">
        <v>0</v>
      </c>
      <c r="K8" s="67">
        <v>58632</v>
      </c>
      <c r="L8" s="67">
        <v>58632</v>
      </c>
      <c r="M8" s="67"/>
      <c r="O8" s="426"/>
    </row>
    <row r="9" spans="1:15">
      <c r="A9" s="35" t="s">
        <v>2</v>
      </c>
      <c r="B9" s="24" t="s">
        <v>46</v>
      </c>
      <c r="D9" s="3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/>
    </row>
    <row r="10" spans="1:15">
      <c r="A10" s="35" t="s">
        <v>10</v>
      </c>
      <c r="B10" s="24" t="s">
        <v>52</v>
      </c>
      <c r="D10" s="36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/>
    </row>
    <row r="11" spans="1:15">
      <c r="A11" s="35"/>
      <c r="D11" s="397">
        <f t="shared" ref="D11:M11" si="0">SUM(D8:D10)</f>
        <v>35946</v>
      </c>
      <c r="E11" s="79">
        <f t="shared" si="0"/>
        <v>36744</v>
      </c>
      <c r="F11" s="79">
        <f t="shared" si="0"/>
        <v>26727</v>
      </c>
      <c r="G11" s="79">
        <f t="shared" si="0"/>
        <v>43302</v>
      </c>
      <c r="H11" s="79">
        <f t="shared" si="0"/>
        <v>0</v>
      </c>
      <c r="I11" s="79">
        <f t="shared" si="0"/>
        <v>0</v>
      </c>
      <c r="J11" s="79">
        <f t="shared" si="0"/>
        <v>0</v>
      </c>
      <c r="K11" s="79">
        <f t="shared" si="0"/>
        <v>58632</v>
      </c>
      <c r="L11" s="79">
        <f t="shared" si="0"/>
        <v>58632</v>
      </c>
      <c r="M11" s="79">
        <f t="shared" si="0"/>
        <v>0</v>
      </c>
      <c r="N11" s="37"/>
    </row>
    <row r="12" spans="1:15">
      <c r="A12" s="35"/>
      <c r="B12" s="30"/>
      <c r="D12" s="36"/>
      <c r="E12" s="67"/>
      <c r="F12" s="67"/>
      <c r="G12" s="67"/>
      <c r="H12" s="67"/>
      <c r="I12" s="67"/>
      <c r="J12" s="67"/>
      <c r="K12" s="67"/>
      <c r="L12" s="67"/>
      <c r="M12" s="67"/>
    </row>
    <row r="13" spans="1:15">
      <c r="A13" s="30" t="s">
        <v>44</v>
      </c>
      <c r="D13" s="36"/>
      <c r="E13" s="67"/>
      <c r="F13" s="67"/>
      <c r="G13" s="67"/>
      <c r="H13" s="67"/>
      <c r="I13" s="67"/>
      <c r="J13" s="67"/>
      <c r="K13" s="67"/>
      <c r="L13" s="67"/>
      <c r="M13" s="67"/>
      <c r="O13" s="307"/>
    </row>
    <row r="14" spans="1:15">
      <c r="A14" s="35" t="s">
        <v>16</v>
      </c>
      <c r="B14" s="24" t="s">
        <v>56</v>
      </c>
      <c r="D14" s="36">
        <v>28961</v>
      </c>
      <c r="E14" s="67">
        <v>29080</v>
      </c>
      <c r="F14" s="67">
        <v>36648.25</v>
      </c>
      <c r="G14" s="67">
        <f>43344+10661-37395</f>
        <v>16610</v>
      </c>
      <c r="H14" s="67">
        <v>40800</v>
      </c>
      <c r="I14" s="67">
        <v>40599</v>
      </c>
      <c r="J14" s="67">
        <v>46945</v>
      </c>
      <c r="K14" s="81">
        <v>48350</v>
      </c>
      <c r="L14" s="81">
        <v>48350</v>
      </c>
      <c r="M14" s="67"/>
    </row>
    <row r="15" spans="1:15">
      <c r="A15" s="35" t="s">
        <v>20</v>
      </c>
      <c r="B15" s="24" t="s">
        <v>59</v>
      </c>
      <c r="D15" s="36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/>
    </row>
    <row r="16" spans="1:15">
      <c r="A16" s="35"/>
      <c r="D16" s="397">
        <f t="shared" ref="D16:M16" si="1">SUM(D14:D15)</f>
        <v>28961</v>
      </c>
      <c r="E16" s="79">
        <f t="shared" si="1"/>
        <v>29080</v>
      </c>
      <c r="F16" s="79">
        <f t="shared" si="1"/>
        <v>36648.25</v>
      </c>
      <c r="G16" s="79">
        <f t="shared" si="1"/>
        <v>16610</v>
      </c>
      <c r="H16" s="79">
        <f t="shared" si="1"/>
        <v>40800</v>
      </c>
      <c r="I16" s="79">
        <f>SUM(I14:I15)</f>
        <v>40599</v>
      </c>
      <c r="J16" s="79">
        <f t="shared" si="1"/>
        <v>46945</v>
      </c>
      <c r="K16" s="79">
        <f t="shared" si="1"/>
        <v>48350</v>
      </c>
      <c r="L16" s="79">
        <f t="shared" si="1"/>
        <v>48350</v>
      </c>
      <c r="M16" s="79">
        <f t="shared" si="1"/>
        <v>0</v>
      </c>
    </row>
    <row r="17" spans="1:63">
      <c r="A17" s="35"/>
      <c r="D17" s="36"/>
      <c r="E17" s="67"/>
      <c r="F17" s="67"/>
      <c r="G17" s="67"/>
      <c r="H17" s="67"/>
      <c r="I17" s="67"/>
      <c r="J17" s="67"/>
      <c r="K17" s="67"/>
      <c r="L17" s="67"/>
      <c r="M17" s="67"/>
    </row>
    <row r="18" spans="1:63">
      <c r="E18" s="67"/>
      <c r="F18" s="67"/>
      <c r="G18" s="67"/>
      <c r="H18" s="67"/>
      <c r="I18" s="67"/>
      <c r="J18" s="67"/>
      <c r="K18" s="67"/>
      <c r="L18" s="67"/>
      <c r="M18" s="67"/>
    </row>
    <row r="19" spans="1:63">
      <c r="A19" s="30" t="s">
        <v>40</v>
      </c>
      <c r="D19" s="38" t="e">
        <f>+#REF!+D16+D11</f>
        <v>#REF!</v>
      </c>
      <c r="E19" s="398" t="e">
        <f>+#REF!+E16+E11</f>
        <v>#REF!</v>
      </c>
      <c r="F19" s="398" t="e">
        <f>+#REF!+F16+F11</f>
        <v>#REF!</v>
      </c>
      <c r="G19" s="202" t="e">
        <f>+#REF!+G16+G11</f>
        <v>#REF!</v>
      </c>
      <c r="H19" s="210">
        <f t="shared" ref="H19:M19" si="2">+H16+H11</f>
        <v>40800</v>
      </c>
      <c r="I19" s="210">
        <f t="shared" si="2"/>
        <v>40599</v>
      </c>
      <c r="J19" s="210">
        <f t="shared" si="2"/>
        <v>46945</v>
      </c>
      <c r="K19" s="202">
        <f t="shared" si="2"/>
        <v>106982</v>
      </c>
      <c r="L19" s="202">
        <f t="shared" si="2"/>
        <v>106982</v>
      </c>
      <c r="M19" s="202">
        <f t="shared" si="2"/>
        <v>0</v>
      </c>
    </row>
    <row r="20" spans="1:63" customFormat="1"/>
    <row r="21" spans="1:63">
      <c r="E21" s="36">
        <f>1729.33+512+665+620+620+1104+777.5+368.5+48+440+773+3892.1</f>
        <v>11549.43</v>
      </c>
      <c r="F21" s="36">
        <f>12900+3223.1</f>
        <v>16123.1</v>
      </c>
      <c r="G21" s="36"/>
      <c r="H21" s="36"/>
      <c r="I21" s="36"/>
      <c r="J21" s="65"/>
      <c r="K21" s="202"/>
      <c r="L21"/>
      <c r="M21" s="36"/>
    </row>
    <row r="22" spans="1:63"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</row>
    <row r="23" spans="1:63">
      <c r="AX23" s="62"/>
      <c r="AY23" s="62"/>
      <c r="AZ23" s="62"/>
      <c r="BA23" s="62"/>
    </row>
  </sheetData>
  <printOptions horizontalCentered="1"/>
  <pageMargins left="0.45" right="0.35" top="0.75" bottom="1" header="0.3" footer="0.3"/>
  <pageSetup orientation="landscape" r:id="rId1"/>
  <headerFooter>
    <oddFooter>&amp;L&amp;D FY25 Budget&amp;CPage 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zoomScalePageLayoutView="150" workbookViewId="0">
      <selection activeCell="H26" sqref="H26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9" width="14.42578125" style="24" customWidth="1"/>
    <col min="10" max="16384" width="9" style="24"/>
  </cols>
  <sheetData>
    <row r="1" spans="1:13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3">
      <c r="A2" s="30" t="s">
        <v>489</v>
      </c>
    </row>
    <row r="3" spans="1:13">
      <c r="A3" s="30" t="s">
        <v>401</v>
      </c>
    </row>
    <row r="4" spans="1:13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3">
      <c r="A6" s="34" t="s">
        <v>38</v>
      </c>
    </row>
    <row r="7" spans="1:13">
      <c r="A7" s="35" t="s">
        <v>2</v>
      </c>
      <c r="B7" s="24" t="s">
        <v>759</v>
      </c>
      <c r="D7" s="376">
        <v>1920</v>
      </c>
      <c r="E7" s="376">
        <v>1920</v>
      </c>
      <c r="F7" s="201">
        <v>1920</v>
      </c>
      <c r="G7" s="201">
        <f>'Pers 161'!N18</f>
        <v>1920</v>
      </c>
      <c r="H7" s="201">
        <v>1920</v>
      </c>
      <c r="I7" s="201"/>
    </row>
    <row r="8" spans="1:13">
      <c r="A8" s="35" t="s">
        <v>3</v>
      </c>
      <c r="B8" s="24" t="s">
        <v>250</v>
      </c>
      <c r="D8" s="376">
        <v>26420</v>
      </c>
      <c r="E8" s="376">
        <v>26296</v>
      </c>
      <c r="F8" s="201">
        <v>26420</v>
      </c>
      <c r="G8" s="201">
        <f>'Pers 161'!N19</f>
        <v>26420</v>
      </c>
      <c r="H8" s="201">
        <v>26420</v>
      </c>
      <c r="I8" s="201"/>
    </row>
    <row r="9" spans="1:13">
      <c r="A9" s="35" t="s">
        <v>4</v>
      </c>
      <c r="B9" s="24" t="s">
        <v>47</v>
      </c>
      <c r="D9" s="376">
        <v>19887</v>
      </c>
      <c r="E9" s="376">
        <v>48364</v>
      </c>
      <c r="F9" s="201">
        <v>42500</v>
      </c>
      <c r="G9" s="201">
        <f>'Pers 161'!N20</f>
        <v>50000</v>
      </c>
      <c r="H9" s="201">
        <v>50000</v>
      </c>
      <c r="I9" s="201"/>
    </row>
    <row r="10" spans="1:13">
      <c r="A10" s="74">
        <v>5130</v>
      </c>
      <c r="B10" s="24" t="s">
        <v>48</v>
      </c>
      <c r="D10" s="376">
        <v>0</v>
      </c>
      <c r="E10" s="376">
        <v>0</v>
      </c>
      <c r="F10" s="201">
        <v>0</v>
      </c>
      <c r="G10" s="201">
        <v>0</v>
      </c>
      <c r="H10" s="201">
        <v>0</v>
      </c>
      <c r="I10" s="201"/>
    </row>
    <row r="11" spans="1:13">
      <c r="A11" s="74">
        <v>5174</v>
      </c>
      <c r="B11" s="24" t="s">
        <v>408</v>
      </c>
      <c r="D11" s="376">
        <v>1040</v>
      </c>
      <c r="E11" s="376">
        <v>1040</v>
      </c>
      <c r="F11" s="201">
        <v>1000</v>
      </c>
      <c r="G11" s="201">
        <f>'Pers 161'!N21</f>
        <v>1000</v>
      </c>
      <c r="H11" s="201">
        <v>1000</v>
      </c>
      <c r="I11" s="201"/>
    </row>
    <row r="12" spans="1:13">
      <c r="A12" s="35"/>
      <c r="D12" s="377">
        <f t="shared" ref="D12:I12" si="0">SUM(D7:D11)</f>
        <v>49267</v>
      </c>
      <c r="E12" s="377">
        <f t="shared" si="0"/>
        <v>77620</v>
      </c>
      <c r="F12" s="295">
        <f t="shared" si="0"/>
        <v>71840</v>
      </c>
      <c r="G12" s="295">
        <f>SUM(G7:G11)</f>
        <v>79340</v>
      </c>
      <c r="H12" s="295">
        <f>SUM(H7:H11)</f>
        <v>79340</v>
      </c>
      <c r="I12" s="295">
        <f t="shared" si="0"/>
        <v>0</v>
      </c>
    </row>
    <row r="13" spans="1:13">
      <c r="A13" s="30" t="s">
        <v>44</v>
      </c>
      <c r="D13" s="376"/>
      <c r="E13" s="376"/>
      <c r="F13" s="201"/>
      <c r="G13" s="201"/>
      <c r="H13" s="201"/>
      <c r="I13" s="201"/>
      <c r="L13" s="62"/>
      <c r="M13" s="62"/>
    </row>
    <row r="14" spans="1:13">
      <c r="A14" s="35" t="s">
        <v>16</v>
      </c>
      <c r="B14" s="24" t="s">
        <v>56</v>
      </c>
      <c r="D14" s="376">
        <v>11451</v>
      </c>
      <c r="E14" s="376">
        <v>15919</v>
      </c>
      <c r="F14" s="201">
        <v>18000</v>
      </c>
      <c r="G14" s="71">
        <v>20500</v>
      </c>
      <c r="H14" s="201">
        <v>20500</v>
      </c>
      <c r="I14" s="201"/>
      <c r="L14" s="446"/>
      <c r="M14" s="62"/>
    </row>
    <row r="15" spans="1:13">
      <c r="A15" s="35"/>
      <c r="B15" s="24" t="s">
        <v>745</v>
      </c>
      <c r="D15" s="376">
        <v>0</v>
      </c>
      <c r="E15" s="376">
        <v>0</v>
      </c>
      <c r="F15" s="201">
        <v>0</v>
      </c>
      <c r="G15" s="71">
        <v>0</v>
      </c>
      <c r="H15" s="201">
        <v>0</v>
      </c>
      <c r="I15" s="201"/>
      <c r="K15" s="426"/>
      <c r="L15" s="446"/>
      <c r="M15" s="62"/>
    </row>
    <row r="16" spans="1:13">
      <c r="A16" s="35" t="s">
        <v>20</v>
      </c>
      <c r="B16" s="24" t="s">
        <v>739</v>
      </c>
      <c r="D16" s="376">
        <v>1965</v>
      </c>
      <c r="E16" s="376">
        <v>6309</v>
      </c>
      <c r="F16" s="201">
        <v>6000</v>
      </c>
      <c r="G16" s="201">
        <v>6000</v>
      </c>
      <c r="H16" s="201">
        <v>6000</v>
      </c>
      <c r="I16" s="201"/>
      <c r="L16" s="446"/>
      <c r="M16" s="62"/>
    </row>
    <row r="17" spans="1:59">
      <c r="A17" s="35"/>
      <c r="D17" s="377">
        <f t="shared" ref="D17:I17" si="1">SUM(D14:D16)</f>
        <v>13416</v>
      </c>
      <c r="E17" s="377">
        <f t="shared" si="1"/>
        <v>22228</v>
      </c>
      <c r="F17" s="295">
        <f t="shared" si="1"/>
        <v>24000</v>
      </c>
      <c r="G17" s="295">
        <f>SUM(G14:G16)</f>
        <v>26500</v>
      </c>
      <c r="H17" s="295">
        <f>SUM(H14:H16)</f>
        <v>26500</v>
      </c>
      <c r="I17" s="295">
        <f t="shared" si="1"/>
        <v>0</v>
      </c>
      <c r="L17" s="62"/>
      <c r="M17" s="62"/>
    </row>
    <row r="18" spans="1:59">
      <c r="A18" s="30" t="s">
        <v>43</v>
      </c>
      <c r="B18" s="24" t="s">
        <v>0</v>
      </c>
      <c r="D18" s="376" t="s">
        <v>0</v>
      </c>
      <c r="E18" s="376" t="s">
        <v>0</v>
      </c>
      <c r="F18" s="201" t="s">
        <v>0</v>
      </c>
      <c r="G18" s="201" t="s">
        <v>0</v>
      </c>
      <c r="H18" s="201" t="s">
        <v>0</v>
      </c>
      <c r="I18" s="201" t="s">
        <v>0</v>
      </c>
    </row>
    <row r="19" spans="1:59">
      <c r="A19" s="35" t="s">
        <v>21</v>
      </c>
      <c r="B19" s="24" t="s">
        <v>60</v>
      </c>
      <c r="D19" s="376">
        <v>2813</v>
      </c>
      <c r="E19" s="376">
        <v>1315</v>
      </c>
      <c r="F19" s="201">
        <v>4200</v>
      </c>
      <c r="G19" s="201">
        <v>6200</v>
      </c>
      <c r="H19" s="201">
        <v>6200</v>
      </c>
      <c r="I19" s="201"/>
    </row>
    <row r="20" spans="1:59">
      <c r="A20" s="74">
        <v>5490</v>
      </c>
      <c r="B20" s="24" t="s">
        <v>419</v>
      </c>
      <c r="D20" s="376">
        <v>670</v>
      </c>
      <c r="E20" s="376">
        <v>2113</v>
      </c>
      <c r="F20" s="201">
        <v>2500</v>
      </c>
      <c r="G20" s="201">
        <v>2500</v>
      </c>
      <c r="H20" s="201">
        <v>2500</v>
      </c>
      <c r="I20" s="201"/>
    </row>
    <row r="21" spans="1:59">
      <c r="A21" s="35" t="s">
        <v>30</v>
      </c>
      <c r="B21" s="24" t="s">
        <v>69</v>
      </c>
      <c r="D21" s="376">
        <v>0</v>
      </c>
      <c r="E21" s="376">
        <v>0</v>
      </c>
      <c r="F21" s="201">
        <v>1100</v>
      </c>
      <c r="G21" s="201">
        <v>0</v>
      </c>
      <c r="H21" s="201">
        <v>0</v>
      </c>
      <c r="I21" s="201"/>
    </row>
    <row r="22" spans="1:59">
      <c r="A22" s="35"/>
      <c r="D22" s="377">
        <f t="shared" ref="D22:I22" si="2">SUM(D19:D21)</f>
        <v>3483</v>
      </c>
      <c r="E22" s="377">
        <f t="shared" si="2"/>
        <v>3428</v>
      </c>
      <c r="F22" s="295">
        <f t="shared" si="2"/>
        <v>7800</v>
      </c>
      <c r="G22" s="295">
        <f>SUM(G19:G21)</f>
        <v>8700</v>
      </c>
      <c r="H22" s="295">
        <f>SUM(H19:H21)</f>
        <v>8700</v>
      </c>
      <c r="I22" s="295">
        <f t="shared" si="2"/>
        <v>0</v>
      </c>
    </row>
    <row r="23" spans="1:59">
      <c r="A23" s="30" t="s">
        <v>39</v>
      </c>
      <c r="D23" s="376"/>
      <c r="E23" s="376"/>
      <c r="F23" s="201"/>
      <c r="G23" s="201"/>
      <c r="H23" s="201"/>
      <c r="I23" s="201"/>
    </row>
    <row r="24" spans="1:59">
      <c r="A24" s="35" t="s">
        <v>31</v>
      </c>
      <c r="B24" s="24" t="s">
        <v>553</v>
      </c>
      <c r="D24" s="376">
        <v>1041</v>
      </c>
      <c r="E24" s="376">
        <v>1637</v>
      </c>
      <c r="F24" s="201">
        <v>1710</v>
      </c>
      <c r="G24" s="201">
        <v>1800</v>
      </c>
      <c r="H24" s="201">
        <v>1800</v>
      </c>
      <c r="I24" s="201"/>
    </row>
    <row r="25" spans="1:59">
      <c r="A25" s="35" t="s">
        <v>33</v>
      </c>
      <c r="B25" s="24" t="s">
        <v>71</v>
      </c>
      <c r="D25" s="376">
        <v>1230</v>
      </c>
      <c r="E25" s="376">
        <v>2286</v>
      </c>
      <c r="F25" s="201">
        <v>1250</v>
      </c>
      <c r="G25" s="201">
        <v>1400</v>
      </c>
      <c r="H25" s="201">
        <v>1400</v>
      </c>
      <c r="I25" s="201"/>
    </row>
    <row r="26" spans="1:59">
      <c r="A26" s="35"/>
      <c r="D26" s="377">
        <f t="shared" ref="D26:I26" si="3">SUM(D24:D25)</f>
        <v>2271</v>
      </c>
      <c r="E26" s="377">
        <f t="shared" si="3"/>
        <v>3923</v>
      </c>
      <c r="F26" s="295">
        <f t="shared" si="3"/>
        <v>2960</v>
      </c>
      <c r="G26" s="295">
        <f>SUM(G24:G25)</f>
        <v>3200</v>
      </c>
      <c r="H26" s="295">
        <f>SUM(H24:H25)</f>
        <v>3200</v>
      </c>
      <c r="I26" s="295">
        <f t="shared" si="3"/>
        <v>0</v>
      </c>
    </row>
    <row r="27" spans="1:59">
      <c r="D27" s="68"/>
      <c r="E27" s="68"/>
      <c r="F27" s="67"/>
      <c r="G27" s="67"/>
      <c r="H27" s="67"/>
      <c r="I27" s="67"/>
    </row>
    <row r="28" spans="1:59">
      <c r="A28" s="30" t="s">
        <v>40</v>
      </c>
      <c r="D28" s="445">
        <f t="shared" ref="D28:I28" si="4">+D26+D22+D17+D12</f>
        <v>68437</v>
      </c>
      <c r="E28" s="445">
        <f t="shared" si="4"/>
        <v>107199</v>
      </c>
      <c r="F28" s="445">
        <f t="shared" si="4"/>
        <v>106600</v>
      </c>
      <c r="G28" s="213">
        <f t="shared" si="4"/>
        <v>117740</v>
      </c>
      <c r="H28" s="213">
        <f>+H26+H22+H17+H12</f>
        <v>117740</v>
      </c>
      <c r="I28" s="213">
        <f t="shared" si="4"/>
        <v>0</v>
      </c>
    </row>
    <row r="29" spans="1:59" customFormat="1">
      <c r="D29" s="91"/>
      <c r="E29" s="91"/>
      <c r="F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</row>
    <row r="30" spans="1:59" customFormat="1">
      <c r="D30" s="372"/>
      <c r="E30" s="375"/>
      <c r="F30" s="185"/>
      <c r="G30" s="202"/>
      <c r="AT30" s="91"/>
      <c r="AU30" s="91"/>
      <c r="AV30" s="91"/>
      <c r="AW30" s="91"/>
    </row>
    <row r="31" spans="1:59" customFormat="1">
      <c r="D31" s="91"/>
      <c r="E31" s="91"/>
      <c r="G31" s="307"/>
    </row>
    <row r="32" spans="1:59" customFormat="1">
      <c r="D32" s="91"/>
      <c r="E32" s="91"/>
    </row>
    <row r="33" spans="4:5" customFormat="1">
      <c r="D33" s="91"/>
      <c r="E33" s="91"/>
    </row>
    <row r="34" spans="4:5" customFormat="1">
      <c r="D34" s="91"/>
      <c r="E34" s="91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14</oddFooter>
  </headerFooter>
  <ignoredErrors>
    <ignoredError sqref="A25 A21:A23 A5:A6 A12:A14 A16:A19 A7:A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Normal="100" zoomScalePageLayoutView="140" workbookViewId="0">
      <selection activeCell="C10" sqref="C10"/>
    </sheetView>
  </sheetViews>
  <sheetFormatPr defaultColWidth="9" defaultRowHeight="15"/>
  <cols>
    <col min="1" max="1" width="11.28515625" style="24" customWidth="1"/>
    <col min="2" max="2" width="10.7109375" style="24" customWidth="1"/>
    <col min="3" max="5" width="6.5703125" style="24" customWidth="1"/>
    <col min="6" max="6" width="12.42578125" style="24" customWidth="1"/>
    <col min="7" max="7" width="12.42578125" style="24" hidden="1" customWidth="1"/>
    <col min="8" max="10" width="12.42578125" style="24" customWidth="1"/>
    <col min="11" max="13" width="9" style="24"/>
    <col min="14" max="14" width="12.5703125" style="24" customWidth="1"/>
    <col min="15" max="15" width="12.5703125" style="24" hidden="1" customWidth="1"/>
    <col min="16" max="18" width="12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105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250</v>
      </c>
      <c r="K8" s="53"/>
    </row>
    <row r="9" spans="1:18">
      <c r="A9" s="24" t="s">
        <v>535</v>
      </c>
      <c r="B9" s="189">
        <v>43605</v>
      </c>
      <c r="C9" s="187"/>
      <c r="D9" s="187"/>
      <c r="E9" s="187"/>
      <c r="F9" s="73">
        <v>420</v>
      </c>
      <c r="G9" s="73"/>
      <c r="K9" s="335"/>
      <c r="L9" s="187"/>
      <c r="M9" s="187"/>
      <c r="N9" s="73">
        <v>420</v>
      </c>
      <c r="O9" s="73"/>
    </row>
    <row r="10" spans="1:18">
      <c r="A10" s="24" t="s">
        <v>415</v>
      </c>
      <c r="B10" s="189">
        <v>42394</v>
      </c>
      <c r="C10" s="42"/>
      <c r="D10" s="42" t="s">
        <v>340</v>
      </c>
      <c r="E10" s="42" t="s">
        <v>340</v>
      </c>
      <c r="F10" s="73">
        <v>26000</v>
      </c>
      <c r="G10" s="73">
        <v>1000</v>
      </c>
      <c r="H10" s="46"/>
      <c r="I10" s="188">
        <v>0</v>
      </c>
      <c r="J10" s="188">
        <v>0</v>
      </c>
      <c r="K10" s="44"/>
      <c r="L10" s="42" t="s">
        <v>340</v>
      </c>
      <c r="M10" s="42" t="s">
        <v>340</v>
      </c>
      <c r="N10" s="73">
        <v>26000</v>
      </c>
      <c r="O10" s="73">
        <v>1000</v>
      </c>
      <c r="P10" s="46"/>
      <c r="Q10" s="188">
        <v>0</v>
      </c>
      <c r="R10" s="188">
        <v>0</v>
      </c>
    </row>
    <row r="11" spans="1:18">
      <c r="F11" s="73"/>
      <c r="G11" s="73"/>
      <c r="K11" s="53"/>
      <c r="N11" s="73"/>
      <c r="O11" s="73"/>
    </row>
    <row r="12" spans="1:18">
      <c r="A12" s="24" t="s">
        <v>690</v>
      </c>
      <c r="B12" s="189"/>
      <c r="C12" s="42"/>
      <c r="F12" s="73">
        <v>1920</v>
      </c>
      <c r="G12" s="73"/>
      <c r="K12" s="44"/>
      <c r="N12" s="73">
        <v>1920</v>
      </c>
      <c r="O12" s="73"/>
    </row>
    <row r="13" spans="1:18">
      <c r="B13" s="189"/>
      <c r="C13" s="42"/>
      <c r="F13" s="73"/>
      <c r="G13" s="73"/>
      <c r="K13" s="44"/>
      <c r="N13" s="73"/>
      <c r="O13" s="73"/>
    </row>
    <row r="14" spans="1:18">
      <c r="A14" s="24" t="s">
        <v>51</v>
      </c>
      <c r="B14" s="189"/>
      <c r="C14" s="42"/>
      <c r="F14" s="73"/>
      <c r="G14" s="73"/>
      <c r="K14" s="44"/>
      <c r="N14" s="73"/>
      <c r="O14" s="73"/>
    </row>
    <row r="15" spans="1:18">
      <c r="A15" s="24" t="s">
        <v>415</v>
      </c>
      <c r="B15" s="189" t="s">
        <v>648</v>
      </c>
      <c r="C15" s="42"/>
      <c r="F15" s="73">
        <v>800</v>
      </c>
      <c r="G15" s="260"/>
      <c r="K15" s="44"/>
      <c r="N15" s="73">
        <v>1000</v>
      </c>
      <c r="O15" s="260"/>
    </row>
    <row r="16" spans="1:18">
      <c r="F16" s="73"/>
      <c r="G16" s="73"/>
      <c r="K16" s="53"/>
      <c r="N16" s="73"/>
      <c r="O16" s="73"/>
    </row>
    <row r="17" spans="1:15">
      <c r="A17" s="40" t="s">
        <v>96</v>
      </c>
      <c r="B17" s="42"/>
      <c r="F17" s="73"/>
      <c r="G17" s="73"/>
      <c r="K17" s="53"/>
      <c r="N17" s="73"/>
      <c r="O17" s="73"/>
    </row>
    <row r="18" spans="1:15">
      <c r="A18" s="24" t="s">
        <v>759</v>
      </c>
      <c r="B18" s="42"/>
      <c r="F18" s="73">
        <f>SUM(F12:F12)</f>
        <v>1920</v>
      </c>
      <c r="G18" s="73"/>
      <c r="K18" s="53"/>
      <c r="N18" s="73">
        <f>SUM(N12:N12)</f>
        <v>1920</v>
      </c>
      <c r="O18" s="73"/>
    </row>
    <row r="19" spans="1:15">
      <c r="A19" s="24" t="s">
        <v>250</v>
      </c>
      <c r="B19" s="42"/>
      <c r="F19" s="73">
        <f>ROUND(F10+F9,0)</f>
        <v>26420</v>
      </c>
      <c r="G19" s="73"/>
      <c r="K19" s="53"/>
      <c r="N19" s="73">
        <f>ROUND(N10+F9,0)</f>
        <v>26420</v>
      </c>
      <c r="O19" s="73"/>
    </row>
    <row r="20" spans="1:15">
      <c r="A20" s="24" t="s">
        <v>47</v>
      </c>
      <c r="B20" s="42"/>
      <c r="F20" s="73">
        <v>42500</v>
      </c>
      <c r="G20" s="73"/>
      <c r="K20" s="53"/>
      <c r="N20" s="73">
        <f>+N36</f>
        <v>50000</v>
      </c>
      <c r="O20" s="73"/>
    </row>
    <row r="21" spans="1:15">
      <c r="A21" s="24" t="s">
        <v>362</v>
      </c>
      <c r="B21" s="42"/>
      <c r="F21" s="209">
        <v>1000</v>
      </c>
      <c r="G21" s="73"/>
      <c r="K21" s="53"/>
      <c r="N21" s="209">
        <v>1000</v>
      </c>
      <c r="O21" s="73"/>
    </row>
    <row r="22" spans="1:15">
      <c r="B22" s="42"/>
      <c r="F22" s="54"/>
      <c r="K22" s="53"/>
      <c r="N22" s="54"/>
    </row>
    <row r="23" spans="1:15">
      <c r="A23" s="64" t="s">
        <v>337</v>
      </c>
      <c r="B23" s="42"/>
      <c r="C23" s="193"/>
      <c r="D23" s="193"/>
      <c r="E23" s="193"/>
      <c r="F23" s="193">
        <f>SUM(F18:F21)</f>
        <v>71840</v>
      </c>
      <c r="K23" s="196"/>
      <c r="L23" s="193"/>
      <c r="M23" s="193"/>
      <c r="N23" s="193">
        <f>SUM(N18:N21)</f>
        <v>79340</v>
      </c>
    </row>
    <row r="25" spans="1:15">
      <c r="B25" s="42"/>
    </row>
    <row r="26" spans="1:15">
      <c r="B26" s="42"/>
      <c r="F26" s="24" t="s">
        <v>181</v>
      </c>
      <c r="N26" s="24" t="s">
        <v>181</v>
      </c>
    </row>
    <row r="27" spans="1:15">
      <c r="B27" s="42"/>
      <c r="F27" s="24" t="s">
        <v>257</v>
      </c>
      <c r="N27" s="24" t="s">
        <v>257</v>
      </c>
    </row>
    <row r="28" spans="1:15">
      <c r="B28" s="42"/>
    </row>
    <row r="29" spans="1:15">
      <c r="B29" s="42"/>
    </row>
    <row r="30" spans="1:15">
      <c r="D30" s="24" t="s">
        <v>503</v>
      </c>
      <c r="F30" s="73">
        <v>25210</v>
      </c>
      <c r="L30" s="24" t="s">
        <v>503</v>
      </c>
      <c r="N30" s="73">
        <v>30000</v>
      </c>
    </row>
    <row r="31" spans="1:15">
      <c r="D31" s="24" t="s">
        <v>454</v>
      </c>
      <c r="F31" s="73">
        <v>2600</v>
      </c>
      <c r="L31" s="24" t="s">
        <v>454</v>
      </c>
      <c r="N31" s="73">
        <v>2800</v>
      </c>
    </row>
    <row r="32" spans="1:15">
      <c r="D32" s="24" t="s">
        <v>99</v>
      </c>
      <c r="F32" s="73">
        <f>500*3</f>
        <v>1500</v>
      </c>
      <c r="L32" s="24" t="s">
        <v>99</v>
      </c>
      <c r="N32" s="73">
        <v>1600</v>
      </c>
    </row>
    <row r="33" spans="2:14">
      <c r="D33" s="24" t="s">
        <v>453</v>
      </c>
      <c r="F33" s="73">
        <v>10500</v>
      </c>
      <c r="L33" s="24" t="s">
        <v>453</v>
      </c>
      <c r="N33" s="73">
        <v>12600</v>
      </c>
    </row>
    <row r="34" spans="2:14">
      <c r="B34" s="59"/>
      <c r="D34" s="24" t="s">
        <v>455</v>
      </c>
      <c r="F34" s="73">
        <v>2690</v>
      </c>
      <c r="L34" s="24" t="s">
        <v>455</v>
      </c>
      <c r="N34" s="73">
        <v>3000</v>
      </c>
    </row>
    <row r="35" spans="2:14">
      <c r="B35" s="59"/>
      <c r="F35" s="73"/>
      <c r="N35" s="73"/>
    </row>
    <row r="36" spans="2:14">
      <c r="D36" s="24" t="s">
        <v>456</v>
      </c>
      <c r="F36" s="73">
        <f>SUM(F30:F34)</f>
        <v>42500</v>
      </c>
      <c r="L36" s="24" t="s">
        <v>456</v>
      </c>
      <c r="N36" s="73">
        <f>SUM(N30:N34)</f>
        <v>50000</v>
      </c>
    </row>
    <row r="37" spans="2:14">
      <c r="N37" s="73"/>
    </row>
    <row r="40" spans="2:14">
      <c r="L40" s="426"/>
    </row>
  </sheetData>
  <phoneticPr fontId="0" type="noConversion"/>
  <printOptions horizontalCentered="1" gridLines="1"/>
  <pageMargins left="0.45" right="0.35" top="0.75" bottom="1" header="0.3" footer="0.3"/>
  <pageSetup scale="77" orientation="landscape" r:id="rId1"/>
  <headerFooter>
    <oddFooter>&amp;L&amp;D FY25 Budget&amp;CPage 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"/>
  <sheetViews>
    <sheetView topLeftCell="A4" workbookViewId="0">
      <selection activeCell="H32" sqref="H32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653</v>
      </c>
    </row>
    <row r="3" spans="1:9">
      <c r="A3" s="30" t="s">
        <v>402</v>
      </c>
    </row>
    <row r="4" spans="1:9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9">
      <c r="A6" s="34" t="s">
        <v>38</v>
      </c>
      <c r="D6" s="68"/>
      <c r="E6" s="68"/>
      <c r="F6" s="67"/>
      <c r="G6" s="67"/>
      <c r="H6" s="67"/>
      <c r="I6" s="67"/>
    </row>
    <row r="7" spans="1:9">
      <c r="A7" s="35" t="s">
        <v>1</v>
      </c>
      <c r="B7" s="24" t="s">
        <v>45</v>
      </c>
      <c r="D7" s="376">
        <v>76543</v>
      </c>
      <c r="E7" s="376">
        <v>79992</v>
      </c>
      <c r="F7" s="201">
        <v>82962</v>
      </c>
      <c r="G7" s="201">
        <f>'Pers 171'!N18</f>
        <v>91036</v>
      </c>
      <c r="H7" s="201">
        <v>91036</v>
      </c>
      <c r="I7" s="201"/>
    </row>
    <row r="8" spans="1:9">
      <c r="A8" s="35" t="s">
        <v>2</v>
      </c>
      <c r="B8" s="24" t="s">
        <v>46</v>
      </c>
      <c r="D8" s="376">
        <v>16443</v>
      </c>
      <c r="E8" s="376">
        <v>54653</v>
      </c>
      <c r="F8" s="201">
        <v>89255</v>
      </c>
      <c r="G8" s="201">
        <f>'Pers 171'!N19</f>
        <v>93402</v>
      </c>
      <c r="H8" s="201">
        <v>93402</v>
      </c>
      <c r="I8" s="201"/>
    </row>
    <row r="9" spans="1:9">
      <c r="A9" s="74">
        <v>5142</v>
      </c>
      <c r="B9" s="24" t="s">
        <v>91</v>
      </c>
      <c r="D9" s="376">
        <v>300</v>
      </c>
      <c r="E9" s="376">
        <v>300</v>
      </c>
      <c r="F9" s="201">
        <v>300</v>
      </c>
      <c r="G9" s="201">
        <f>'Pers 171'!N20</f>
        <v>300</v>
      </c>
      <c r="H9" s="201">
        <v>300</v>
      </c>
      <c r="I9" s="201"/>
    </row>
    <row r="10" spans="1:9">
      <c r="A10" s="74">
        <v>5170</v>
      </c>
      <c r="B10" s="24" t="s">
        <v>408</v>
      </c>
      <c r="D10" s="376">
        <v>0</v>
      </c>
      <c r="E10" s="376">
        <v>0</v>
      </c>
      <c r="F10" s="201">
        <v>0</v>
      </c>
      <c r="G10" s="201">
        <v>0</v>
      </c>
      <c r="H10" s="201">
        <v>0</v>
      </c>
      <c r="I10" s="201"/>
    </row>
    <row r="11" spans="1:9">
      <c r="A11" s="74">
        <v>5195</v>
      </c>
      <c r="B11" s="24" t="s">
        <v>52</v>
      </c>
      <c r="D11" s="387">
        <v>0</v>
      </c>
      <c r="E11" s="387">
        <v>0</v>
      </c>
      <c r="F11" s="296">
        <v>0</v>
      </c>
      <c r="G11" s="201">
        <f>'Pers 171'!N22</f>
        <v>482</v>
      </c>
      <c r="H11" s="201">
        <v>482</v>
      </c>
      <c r="I11" s="296"/>
    </row>
    <row r="12" spans="1:9">
      <c r="A12" s="35"/>
      <c r="D12" s="377">
        <f t="shared" ref="D12:I12" si="0">SUM(D7:D11)</f>
        <v>93286</v>
      </c>
      <c r="E12" s="377">
        <f t="shared" si="0"/>
        <v>134945</v>
      </c>
      <c r="F12" s="295">
        <f t="shared" si="0"/>
        <v>172517</v>
      </c>
      <c r="G12" s="295">
        <f>SUM(G7:G11)</f>
        <v>185220</v>
      </c>
      <c r="H12" s="295">
        <f t="shared" si="0"/>
        <v>185220</v>
      </c>
      <c r="I12" s="295">
        <f t="shared" si="0"/>
        <v>0</v>
      </c>
    </row>
    <row r="13" spans="1:9">
      <c r="A13" s="35"/>
      <c r="B13" s="30"/>
      <c r="D13" s="376"/>
      <c r="E13" s="376"/>
      <c r="F13" s="201"/>
      <c r="G13" s="201"/>
      <c r="H13" s="201"/>
      <c r="I13" s="201"/>
    </row>
    <row r="14" spans="1:9">
      <c r="A14" s="30" t="s">
        <v>44</v>
      </c>
      <c r="D14" s="376"/>
      <c r="E14" s="376"/>
      <c r="F14" s="201"/>
      <c r="G14" s="201"/>
      <c r="H14" s="201"/>
      <c r="I14" s="201"/>
    </row>
    <row r="15" spans="1:9">
      <c r="A15" s="35" t="s">
        <v>16</v>
      </c>
      <c r="B15" s="24" t="s">
        <v>56</v>
      </c>
      <c r="D15" s="376">
        <v>5230</v>
      </c>
      <c r="E15" s="376">
        <v>1439</v>
      </c>
      <c r="F15" s="201">
        <v>7000</v>
      </c>
      <c r="G15" s="71">
        <v>6000</v>
      </c>
      <c r="H15" s="71">
        <v>6000</v>
      </c>
      <c r="I15" s="201"/>
    </row>
    <row r="16" spans="1:9">
      <c r="A16" s="74">
        <v>5340</v>
      </c>
      <c r="B16" s="24" t="s">
        <v>58</v>
      </c>
      <c r="D16" s="376">
        <v>0</v>
      </c>
      <c r="E16" s="376">
        <v>0</v>
      </c>
      <c r="F16" s="201">
        <v>0</v>
      </c>
      <c r="G16" s="201">
        <v>0</v>
      </c>
      <c r="H16" s="201">
        <v>0</v>
      </c>
      <c r="I16" s="201"/>
    </row>
    <row r="17" spans="1:59">
      <c r="A17" s="35"/>
      <c r="D17" s="377">
        <f t="shared" ref="D17:I17" si="1">SUM(D15:D16)</f>
        <v>5230</v>
      </c>
      <c r="E17" s="377">
        <f t="shared" si="1"/>
        <v>1439</v>
      </c>
      <c r="F17" s="295">
        <f t="shared" si="1"/>
        <v>7000</v>
      </c>
      <c r="G17" s="295">
        <f t="shared" si="1"/>
        <v>6000</v>
      </c>
      <c r="H17" s="295">
        <f t="shared" ref="H17" si="2">SUM(H15:H16)</f>
        <v>6000</v>
      </c>
      <c r="I17" s="295">
        <f t="shared" si="1"/>
        <v>0</v>
      </c>
    </row>
    <row r="18" spans="1:59">
      <c r="A18" s="35"/>
      <c r="D18" s="388"/>
      <c r="E18" s="388"/>
      <c r="F18" s="201"/>
      <c r="G18" s="201"/>
      <c r="H18" s="201"/>
      <c r="I18" s="201"/>
    </row>
    <row r="19" spans="1:59">
      <c r="A19" s="30" t="s">
        <v>43</v>
      </c>
      <c r="B19" s="24" t="s">
        <v>0</v>
      </c>
      <c r="D19" s="388"/>
      <c r="E19" s="388"/>
      <c r="F19" s="201" t="s">
        <v>0</v>
      </c>
      <c r="G19" s="201" t="s">
        <v>0</v>
      </c>
      <c r="H19" s="201" t="s">
        <v>0</v>
      </c>
      <c r="I19" s="201" t="s">
        <v>0</v>
      </c>
    </row>
    <row r="20" spans="1:59">
      <c r="A20" s="35" t="s">
        <v>21</v>
      </c>
      <c r="B20" s="24" t="s">
        <v>60</v>
      </c>
      <c r="D20" s="376">
        <v>6478</v>
      </c>
      <c r="E20" s="376">
        <v>3526</v>
      </c>
      <c r="F20" s="201">
        <v>2000</v>
      </c>
      <c r="G20" s="201">
        <v>3000</v>
      </c>
      <c r="H20" s="201">
        <v>3000</v>
      </c>
      <c r="I20" s="201"/>
    </row>
    <row r="21" spans="1:59">
      <c r="A21" s="74">
        <v>5480</v>
      </c>
      <c r="B21" s="24" t="s">
        <v>582</v>
      </c>
      <c r="D21" s="376">
        <v>913</v>
      </c>
      <c r="E21" s="376">
        <f>702+234</f>
        <v>936</v>
      </c>
      <c r="F21" s="201">
        <v>1000</v>
      </c>
      <c r="G21" s="201">
        <v>1000</v>
      </c>
      <c r="H21" s="201">
        <v>1000</v>
      </c>
      <c r="I21" s="201"/>
    </row>
    <row r="22" spans="1:59">
      <c r="A22" s="35" t="s">
        <v>28</v>
      </c>
      <c r="B22" s="24" t="s">
        <v>67</v>
      </c>
      <c r="D22" s="376">
        <v>2281</v>
      </c>
      <c r="E22" s="376">
        <v>2486</v>
      </c>
      <c r="F22" s="201">
        <v>3000</v>
      </c>
      <c r="G22" s="201">
        <v>3000</v>
      </c>
      <c r="H22" s="201">
        <v>3000</v>
      </c>
      <c r="I22" s="201"/>
    </row>
    <row r="23" spans="1:59">
      <c r="A23" s="35" t="s">
        <v>30</v>
      </c>
      <c r="B23" s="24" t="s">
        <v>69</v>
      </c>
      <c r="D23" s="376">
        <v>28</v>
      </c>
      <c r="E23" s="376">
        <v>0</v>
      </c>
      <c r="F23" s="201">
        <v>500</v>
      </c>
      <c r="G23" s="201">
        <v>500</v>
      </c>
      <c r="H23" s="201">
        <v>500</v>
      </c>
      <c r="I23" s="201"/>
    </row>
    <row r="24" spans="1:59">
      <c r="A24" s="35"/>
      <c r="D24" s="377">
        <f t="shared" ref="D24:I24" si="3">SUM(D20:D23)</f>
        <v>9700</v>
      </c>
      <c r="E24" s="377">
        <f t="shared" si="3"/>
        <v>6948</v>
      </c>
      <c r="F24" s="295">
        <f t="shared" si="3"/>
        <v>6500</v>
      </c>
      <c r="G24" s="295">
        <f t="shared" si="3"/>
        <v>7500</v>
      </c>
      <c r="H24" s="295">
        <f t="shared" ref="H24" si="4">SUM(H20:H23)</f>
        <v>7500</v>
      </c>
      <c r="I24" s="295">
        <f t="shared" si="3"/>
        <v>0</v>
      </c>
    </row>
    <row r="25" spans="1:59">
      <c r="A25" s="35"/>
      <c r="D25" s="376"/>
      <c r="E25" s="376"/>
      <c r="F25" s="201"/>
      <c r="G25" s="201"/>
      <c r="H25" s="201"/>
      <c r="I25" s="201"/>
    </row>
    <row r="26" spans="1:59">
      <c r="A26" s="30" t="s">
        <v>39</v>
      </c>
      <c r="D26" s="376"/>
      <c r="E26" s="376"/>
      <c r="F26" s="201"/>
      <c r="G26" s="201"/>
      <c r="H26" s="201"/>
      <c r="I26" s="201"/>
    </row>
    <row r="27" spans="1:59">
      <c r="A27" s="35" t="s">
        <v>31</v>
      </c>
      <c r="B27" s="24" t="s">
        <v>553</v>
      </c>
      <c r="D27" s="376">
        <v>220</v>
      </c>
      <c r="E27" s="376">
        <v>0</v>
      </c>
      <c r="F27" s="201">
        <v>500</v>
      </c>
      <c r="G27" s="201">
        <v>500</v>
      </c>
      <c r="H27" s="201">
        <v>500</v>
      </c>
      <c r="I27" s="201"/>
    </row>
    <row r="28" spans="1:59">
      <c r="A28" s="35" t="s">
        <v>33</v>
      </c>
      <c r="B28" s="24" t="s">
        <v>71</v>
      </c>
      <c r="D28" s="376">
        <v>554</v>
      </c>
      <c r="E28" s="376">
        <v>75</v>
      </c>
      <c r="F28" s="201">
        <v>750</v>
      </c>
      <c r="G28" s="201">
        <v>750</v>
      </c>
      <c r="H28" s="201">
        <v>750</v>
      </c>
      <c r="I28" s="201"/>
    </row>
    <row r="29" spans="1:59">
      <c r="A29" s="35"/>
      <c r="D29" s="377">
        <f t="shared" ref="D29:I29" si="5">SUM(D27:D28)</f>
        <v>774</v>
      </c>
      <c r="E29" s="377">
        <f t="shared" si="5"/>
        <v>75</v>
      </c>
      <c r="F29" s="295">
        <f t="shared" si="5"/>
        <v>1250</v>
      </c>
      <c r="G29" s="295">
        <f t="shared" si="5"/>
        <v>1250</v>
      </c>
      <c r="H29" s="295">
        <f t="shared" ref="H29" si="6">SUM(H27:H28)</f>
        <v>1250</v>
      </c>
      <c r="I29" s="295">
        <f t="shared" si="5"/>
        <v>0</v>
      </c>
    </row>
    <row r="30" spans="1:59">
      <c r="A30" s="35"/>
      <c r="D30" s="68"/>
      <c r="E30" s="68"/>
      <c r="F30" s="67"/>
      <c r="G30" s="67"/>
      <c r="H30" s="67"/>
      <c r="I30" s="67"/>
    </row>
    <row r="31" spans="1:59">
      <c r="D31" s="68"/>
      <c r="E31" s="68"/>
      <c r="F31" s="67"/>
      <c r="G31" s="67"/>
      <c r="H31" s="67"/>
      <c r="I31" s="67"/>
    </row>
    <row r="32" spans="1:59">
      <c r="A32" s="30" t="s">
        <v>40</v>
      </c>
      <c r="D32" s="210">
        <f t="shared" ref="D32:I32" si="7">+D29+D24+D17+D12</f>
        <v>108990</v>
      </c>
      <c r="E32" s="210">
        <f t="shared" si="7"/>
        <v>143407</v>
      </c>
      <c r="F32" s="210">
        <f t="shared" si="7"/>
        <v>187267</v>
      </c>
      <c r="G32" s="202">
        <f t="shared" si="7"/>
        <v>199970</v>
      </c>
      <c r="H32" s="202">
        <f>+H29+H24+H17+H12</f>
        <v>199970</v>
      </c>
      <c r="I32" s="202">
        <f t="shared" si="7"/>
        <v>0</v>
      </c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</row>
    <row r="33" spans="4:49" customFormat="1">
      <c r="D33" s="91"/>
      <c r="E33" s="91"/>
      <c r="AT33" s="91"/>
      <c r="AU33" s="91"/>
      <c r="AV33" s="91"/>
      <c r="AW33" s="91"/>
    </row>
    <row r="34" spans="4:49" customFormat="1">
      <c r="D34" s="372"/>
      <c r="E34" s="375"/>
      <c r="F34" s="185"/>
      <c r="G34" s="202"/>
    </row>
    <row r="35" spans="4:49" customFormat="1">
      <c r="D35" s="91"/>
      <c r="E35" s="91"/>
    </row>
    <row r="36" spans="4:49" customFormat="1">
      <c r="D36" s="91"/>
      <c r="E36" s="91"/>
    </row>
    <row r="37" spans="4:49" customFormat="1">
      <c r="D37" s="91"/>
      <c r="E37" s="91"/>
    </row>
  </sheetData>
  <phoneticPr fontId="0" type="noConversion"/>
  <printOptions horizontalCentered="1"/>
  <pageMargins left="0.45" right="0.35" top="0.75" bottom="1" header="0.3" footer="0.3"/>
  <pageSetup scale="92" orientation="landscape" r:id="rId1"/>
  <headerFooter>
    <oddFooter>&amp;L&amp;D FY25 Budget&amp;CPage 16</oddFooter>
  </headerFooter>
  <ignoredErrors>
    <ignoredError sqref="A7:A8 A22:A32 A12:A15 A17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topLeftCell="A29" workbookViewId="0">
      <selection activeCell="O45" sqref="O45"/>
    </sheetView>
  </sheetViews>
  <sheetFormatPr defaultColWidth="9.28515625" defaultRowHeight="15"/>
  <cols>
    <col min="1" max="2" width="9.28515625" style="91"/>
    <col min="3" max="3" width="21.42578125" style="91" customWidth="1"/>
    <col min="4" max="4" width="2" style="91" customWidth="1"/>
    <col min="5" max="5" width="15.5703125" style="107" hidden="1" customWidth="1"/>
    <col min="6" max="6" width="2.28515625" style="91" hidden="1" customWidth="1"/>
    <col min="7" max="7" width="15.5703125" style="108" hidden="1" customWidth="1"/>
    <col min="8" max="8" width="2.28515625" style="108" hidden="1" customWidth="1"/>
    <col min="9" max="9" width="15.5703125" style="108" hidden="1" customWidth="1"/>
    <col min="10" max="10" width="2.28515625" style="108" hidden="1" customWidth="1"/>
    <col min="11" max="11" width="15.5703125" style="108" hidden="1" customWidth="1"/>
    <col min="12" max="12" width="2.7109375" style="108" hidden="1" customWidth="1"/>
    <col min="13" max="13" width="15.42578125" style="91" customWidth="1"/>
    <col min="14" max="14" width="2.5703125" style="91" customWidth="1"/>
    <col min="15" max="15" width="15.5703125" style="100" customWidth="1"/>
    <col min="16" max="16" width="3.5703125" style="91" customWidth="1"/>
    <col min="17" max="17" width="15.28515625" style="268" customWidth="1"/>
    <col min="18" max="18" width="2.5703125" style="91" customWidth="1"/>
    <col min="19" max="19" width="16.42578125" style="91" customWidth="1"/>
    <col min="20" max="20" width="4" style="91" customWidth="1"/>
    <col min="21" max="21" width="9.28515625" style="91"/>
    <col min="22" max="22" width="12.5703125" style="91" bestFit="1" customWidth="1"/>
    <col min="23" max="23" width="9.7109375" style="91" bestFit="1" customWidth="1"/>
    <col min="24" max="24" width="11.42578125" style="91" bestFit="1" customWidth="1"/>
    <col min="25" max="25" width="9.7109375" style="91" bestFit="1" customWidth="1"/>
    <col min="26" max="26" width="14.42578125" style="91" bestFit="1" customWidth="1"/>
    <col min="27" max="27" width="5.42578125" style="91" customWidth="1"/>
    <col min="28" max="28" width="11.42578125" style="91" bestFit="1" customWidth="1"/>
    <col min="29" max="16384" width="9.28515625" style="91"/>
  </cols>
  <sheetData>
    <row r="1" spans="1:19" s="96" customFormat="1" ht="21" thickBot="1">
      <c r="A1" s="480" t="s">
        <v>656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</row>
    <row r="2" spans="1:19" ht="21" thickBot="1">
      <c r="A2" s="480" t="s">
        <v>298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</row>
    <row r="3" spans="1:19" ht="15.75">
      <c r="A3" s="239"/>
      <c r="B3" s="98"/>
      <c r="C3" s="98"/>
      <c r="D3" s="98"/>
      <c r="E3" s="99"/>
      <c r="G3" s="99"/>
      <c r="H3" s="99"/>
      <c r="I3" s="99"/>
      <c r="J3" s="99"/>
      <c r="K3" s="99"/>
      <c r="L3" s="99"/>
      <c r="N3" s="99"/>
      <c r="P3" s="99"/>
    </row>
    <row r="4" spans="1:19" s="178" customFormat="1">
      <c r="A4" s="150"/>
      <c r="B4" s="166" t="s">
        <v>273</v>
      </c>
      <c r="C4" s="167"/>
      <c r="D4" s="168"/>
      <c r="E4" s="169" t="s">
        <v>92</v>
      </c>
      <c r="F4" s="140"/>
      <c r="G4" s="169" t="s">
        <v>274</v>
      </c>
      <c r="H4" s="170"/>
      <c r="I4" s="169" t="s">
        <v>275</v>
      </c>
      <c r="J4" s="170"/>
      <c r="K4" s="169" t="s">
        <v>276</v>
      </c>
      <c r="L4" s="165"/>
      <c r="M4" s="169" t="s">
        <v>623</v>
      </c>
      <c r="N4" s="165"/>
      <c r="O4" s="169" t="s">
        <v>658</v>
      </c>
      <c r="P4" s="141"/>
      <c r="Q4" s="269" t="s">
        <v>277</v>
      </c>
      <c r="R4" s="165"/>
      <c r="S4" s="171" t="s">
        <v>278</v>
      </c>
    </row>
    <row r="5" spans="1:19" s="105" customFormat="1">
      <c r="A5" s="103"/>
      <c r="B5" s="101"/>
      <c r="C5" s="101"/>
      <c r="D5" s="101"/>
      <c r="E5" s="104"/>
      <c r="F5" s="142"/>
      <c r="G5" s="104"/>
      <c r="H5" s="104"/>
      <c r="I5" s="104"/>
      <c r="J5" s="104"/>
      <c r="K5" s="104"/>
      <c r="L5" s="104"/>
      <c r="M5" s="104"/>
      <c r="N5" s="104"/>
      <c r="O5" s="104"/>
      <c r="P5" s="142"/>
      <c r="Q5" s="270"/>
      <c r="R5" s="104"/>
      <c r="S5" s="103"/>
    </row>
    <row r="6" spans="1:19">
      <c r="A6" s="150"/>
      <c r="B6" s="141" t="s">
        <v>379</v>
      </c>
      <c r="C6" s="141"/>
      <c r="D6" s="141"/>
      <c r="E6" s="146">
        <v>2477111</v>
      </c>
      <c r="F6" s="141"/>
      <c r="G6" s="154" t="e">
        <v>#REF!</v>
      </c>
      <c r="H6" s="141"/>
      <c r="I6" s="154" t="e">
        <v>#REF!</v>
      </c>
      <c r="J6" s="141"/>
      <c r="K6" s="154" t="e">
        <v>#REF!</v>
      </c>
      <c r="L6" s="141"/>
      <c r="M6" s="146">
        <v>7191168</v>
      </c>
      <c r="N6" s="141"/>
      <c r="O6" s="146">
        <v>7272006</v>
      </c>
      <c r="P6" s="141"/>
      <c r="Q6" s="274">
        <f t="shared" ref="Q6:Q18" si="0">+O6-M6</f>
        <v>80838</v>
      </c>
      <c r="R6" s="141"/>
      <c r="S6" s="145">
        <f t="shared" ref="S6:S21" si="1">+Q6/M6</f>
        <v>1.1241289314892936E-2</v>
      </c>
    </row>
    <row r="7" spans="1:19">
      <c r="A7" s="150"/>
      <c r="B7" s="141" t="s">
        <v>440</v>
      </c>
      <c r="C7" s="141"/>
      <c r="D7" s="141"/>
      <c r="E7" s="146"/>
      <c r="F7" s="141"/>
      <c r="G7" s="154"/>
      <c r="H7" s="141"/>
      <c r="I7" s="154"/>
      <c r="J7" s="141"/>
      <c r="K7" s="154"/>
      <c r="L7" s="141"/>
      <c r="M7" s="146">
        <v>20000</v>
      </c>
      <c r="N7" s="141"/>
      <c r="O7" s="146">
        <v>20000</v>
      </c>
      <c r="P7" s="141"/>
      <c r="Q7" s="274">
        <f t="shared" si="0"/>
        <v>0</v>
      </c>
      <c r="R7" s="141"/>
      <c r="S7" s="145">
        <f t="shared" si="1"/>
        <v>0</v>
      </c>
    </row>
    <row r="8" spans="1:19">
      <c r="A8" s="150"/>
      <c r="B8" s="142" t="s">
        <v>441</v>
      </c>
      <c r="C8" s="142"/>
      <c r="D8" s="142"/>
      <c r="E8" s="146"/>
      <c r="F8" s="142"/>
      <c r="G8" s="154"/>
      <c r="H8" s="142"/>
      <c r="I8" s="154"/>
      <c r="J8" s="142"/>
      <c r="K8" s="154"/>
      <c r="L8" s="142"/>
      <c r="M8" s="147">
        <v>0</v>
      </c>
      <c r="N8" s="286"/>
      <c r="O8" s="147"/>
      <c r="P8" s="286"/>
      <c r="Q8" s="287">
        <f t="shared" si="0"/>
        <v>0</v>
      </c>
      <c r="R8" s="286"/>
      <c r="S8" s="148">
        <v>0</v>
      </c>
    </row>
    <row r="9" spans="1:19" s="178" customFormat="1">
      <c r="A9" s="368"/>
      <c r="B9" s="182" t="s">
        <v>521</v>
      </c>
      <c r="C9" s="182"/>
      <c r="D9" s="182"/>
      <c r="E9" s="242"/>
      <c r="F9" s="182"/>
      <c r="G9" s="174"/>
      <c r="H9" s="182"/>
      <c r="I9" s="174"/>
      <c r="J9" s="182"/>
      <c r="K9" s="174"/>
      <c r="L9" s="182"/>
      <c r="M9" s="242">
        <f>SUM(M6:M8)</f>
        <v>7211168</v>
      </c>
      <c r="N9" s="182"/>
      <c r="O9" s="242">
        <f>SUM(O6:O8)</f>
        <v>7292006</v>
      </c>
      <c r="P9" s="182"/>
      <c r="Q9" s="242">
        <f>SUM(Q6:Q8)</f>
        <v>80838</v>
      </c>
      <c r="R9" s="182"/>
      <c r="S9" s="243">
        <f t="shared" si="1"/>
        <v>1.1210111870920218E-2</v>
      </c>
    </row>
    <row r="10" spans="1:19">
      <c r="A10" s="150"/>
      <c r="B10" s="141"/>
      <c r="C10" s="141"/>
      <c r="D10" s="141"/>
      <c r="E10" s="146"/>
      <c r="F10" s="141"/>
      <c r="G10" s="154"/>
      <c r="H10" s="141"/>
      <c r="I10" s="154"/>
      <c r="J10" s="141"/>
      <c r="K10" s="154"/>
      <c r="L10" s="141"/>
      <c r="M10" s="146"/>
      <c r="N10" s="141"/>
      <c r="O10" s="146"/>
      <c r="P10" s="141"/>
      <c r="Q10" s="274"/>
      <c r="R10" s="141"/>
      <c r="S10" s="145"/>
    </row>
    <row r="11" spans="1:19">
      <c r="A11" s="150"/>
      <c r="B11" s="141" t="s">
        <v>514</v>
      </c>
      <c r="C11" s="141"/>
      <c r="D11" s="141"/>
      <c r="E11" s="146"/>
      <c r="F11" s="141"/>
      <c r="G11" s="154"/>
      <c r="H11" s="141"/>
      <c r="I11" s="154"/>
      <c r="J11" s="141"/>
      <c r="K11" s="154"/>
      <c r="L11" s="141"/>
      <c r="M11" s="146">
        <v>302116</v>
      </c>
      <c r="N11" s="141"/>
      <c r="O11" s="146">
        <v>304266</v>
      </c>
      <c r="P11" s="141"/>
      <c r="Q11" s="274">
        <f>+O11-M11</f>
        <v>2150</v>
      </c>
      <c r="R11" s="141"/>
      <c r="S11" s="145">
        <f t="shared" si="1"/>
        <v>7.1164718187715975E-3</v>
      </c>
    </row>
    <row r="12" spans="1:19">
      <c r="A12" s="150"/>
      <c r="B12" s="141" t="s">
        <v>513</v>
      </c>
      <c r="C12" s="141"/>
      <c r="D12" s="141"/>
      <c r="E12" s="146"/>
      <c r="F12" s="141"/>
      <c r="G12" s="154"/>
      <c r="H12" s="141"/>
      <c r="I12" s="154"/>
      <c r="J12" s="141"/>
      <c r="K12" s="154"/>
      <c r="L12" s="141"/>
      <c r="M12" s="146">
        <v>0</v>
      </c>
      <c r="N12" s="141"/>
      <c r="O12" s="146"/>
      <c r="P12" s="141"/>
      <c r="Q12" s="274">
        <f>+O12-M12</f>
        <v>0</v>
      </c>
      <c r="R12" s="141"/>
      <c r="S12" s="145">
        <v>0</v>
      </c>
    </row>
    <row r="13" spans="1:19">
      <c r="A13" s="150"/>
      <c r="B13" s="141" t="s">
        <v>515</v>
      </c>
      <c r="C13" s="141"/>
      <c r="D13" s="141"/>
      <c r="E13" s="146"/>
      <c r="F13" s="141"/>
      <c r="G13" s="154"/>
      <c r="H13" s="141"/>
      <c r="I13" s="154"/>
      <c r="J13" s="141"/>
      <c r="K13" s="154"/>
      <c r="L13" s="141"/>
      <c r="M13" s="147">
        <v>0</v>
      </c>
      <c r="N13" s="286"/>
      <c r="O13" s="147"/>
      <c r="P13" s="286"/>
      <c r="Q13" s="287">
        <f>+O13-M13</f>
        <v>0</v>
      </c>
      <c r="R13" s="286"/>
      <c r="S13" s="148"/>
    </row>
    <row r="14" spans="1:19" s="178" customFormat="1">
      <c r="A14" s="368"/>
      <c r="B14" s="182" t="s">
        <v>522</v>
      </c>
      <c r="C14" s="182"/>
      <c r="D14" s="182"/>
      <c r="E14" s="242"/>
      <c r="F14" s="182"/>
      <c r="G14" s="174"/>
      <c r="H14" s="182"/>
      <c r="I14" s="174"/>
      <c r="J14" s="182"/>
      <c r="K14" s="174"/>
      <c r="L14" s="182"/>
      <c r="M14" s="242">
        <f>SUM(M11:M13)</f>
        <v>302116</v>
      </c>
      <c r="N14" s="182"/>
      <c r="O14" s="242">
        <f>SUM(O11:O13)</f>
        <v>304266</v>
      </c>
      <c r="P14" s="182"/>
      <c r="Q14" s="418">
        <f>SUM(Q11:Q13)</f>
        <v>2150</v>
      </c>
      <c r="R14" s="182"/>
      <c r="S14" s="243">
        <f t="shared" si="1"/>
        <v>7.1164718187715975E-3</v>
      </c>
    </row>
    <row r="15" spans="1:19">
      <c r="A15" s="150"/>
      <c r="B15" s="141"/>
      <c r="C15" s="141"/>
      <c r="D15" s="141"/>
      <c r="E15" s="146"/>
      <c r="F15" s="141"/>
      <c r="G15" s="154"/>
      <c r="H15" s="141"/>
      <c r="I15" s="154"/>
      <c r="J15" s="141"/>
      <c r="K15" s="154"/>
      <c r="L15" s="141"/>
      <c r="M15" s="146"/>
      <c r="N15" s="141"/>
      <c r="O15" s="146"/>
      <c r="P15" s="141"/>
      <c r="Q15" s="274"/>
      <c r="R15" s="141"/>
      <c r="S15" s="145"/>
    </row>
    <row r="16" spans="1:19">
      <c r="A16" s="150"/>
      <c r="B16" s="141" t="s">
        <v>380</v>
      </c>
      <c r="C16" s="141"/>
      <c r="D16" s="141"/>
      <c r="E16" s="146">
        <v>159067</v>
      </c>
      <c r="F16" s="141"/>
      <c r="G16" s="154" t="e">
        <v>#REF!</v>
      </c>
      <c r="H16" s="141"/>
      <c r="I16" s="154" t="e">
        <v>#REF!</v>
      </c>
      <c r="J16" s="141"/>
      <c r="K16" s="154" t="e">
        <v>#REF!</v>
      </c>
      <c r="L16" s="141"/>
      <c r="M16" s="144">
        <v>199220</v>
      </c>
      <c r="N16" s="141"/>
      <c r="O16" s="144">
        <v>338833</v>
      </c>
      <c r="P16" s="141"/>
      <c r="Q16" s="274">
        <f t="shared" si="0"/>
        <v>139613</v>
      </c>
      <c r="R16" s="141"/>
      <c r="S16" s="145">
        <f t="shared" si="1"/>
        <v>0.70079811263929326</v>
      </c>
    </row>
    <row r="17" spans="1:19">
      <c r="A17" s="150"/>
      <c r="B17" s="141" t="s">
        <v>459</v>
      </c>
      <c r="C17" s="141"/>
      <c r="D17" s="141"/>
      <c r="E17" s="146"/>
      <c r="F17" s="141"/>
      <c r="G17" s="154"/>
      <c r="H17" s="141"/>
      <c r="I17" s="154"/>
      <c r="J17" s="141"/>
      <c r="K17" s="154"/>
      <c r="L17" s="141"/>
      <c r="M17" s="144">
        <v>98617</v>
      </c>
      <c r="N17" s="141"/>
      <c r="O17" s="144"/>
      <c r="P17" s="141"/>
      <c r="Q17" s="274">
        <f t="shared" si="0"/>
        <v>-98617</v>
      </c>
      <c r="R17" s="141"/>
      <c r="S17" s="145">
        <f t="shared" si="1"/>
        <v>-1</v>
      </c>
    </row>
    <row r="18" spans="1:19">
      <c r="A18" s="150"/>
      <c r="B18" s="141" t="s">
        <v>460</v>
      </c>
      <c r="C18" s="141"/>
      <c r="D18" s="141"/>
      <c r="E18" s="146"/>
      <c r="F18" s="141"/>
      <c r="G18" s="154"/>
      <c r="H18" s="141"/>
      <c r="I18" s="154"/>
      <c r="J18" s="141"/>
      <c r="K18" s="154"/>
      <c r="L18" s="141"/>
      <c r="M18" s="147">
        <v>30000</v>
      </c>
      <c r="N18" s="286"/>
      <c r="O18" s="147"/>
      <c r="P18" s="286"/>
      <c r="Q18" s="287">
        <f t="shared" si="0"/>
        <v>-30000</v>
      </c>
      <c r="R18" s="286"/>
      <c r="S18" s="148"/>
    </row>
    <row r="19" spans="1:19" s="178" customFormat="1">
      <c r="A19" s="368"/>
      <c r="B19" s="182" t="s">
        <v>523</v>
      </c>
      <c r="C19" s="182"/>
      <c r="D19" s="182"/>
      <c r="E19" s="242"/>
      <c r="F19" s="182"/>
      <c r="G19" s="174"/>
      <c r="H19" s="182"/>
      <c r="I19" s="174"/>
      <c r="J19" s="182"/>
      <c r="K19" s="174"/>
      <c r="L19" s="182"/>
      <c r="M19" s="242">
        <f>SUM(M16:M18)</f>
        <v>327837</v>
      </c>
      <c r="N19" s="369"/>
      <c r="O19" s="242">
        <f>SUM(O16:O18)</f>
        <v>338833</v>
      </c>
      <c r="P19" s="369"/>
      <c r="Q19" s="242">
        <f>SUM(Q16:Q18)</f>
        <v>10996</v>
      </c>
      <c r="R19" s="369"/>
      <c r="S19" s="243">
        <f t="shared" si="1"/>
        <v>3.3541058513834619E-2</v>
      </c>
    </row>
    <row r="20" spans="1:19">
      <c r="A20" s="150"/>
      <c r="B20" s="141"/>
      <c r="C20" s="141"/>
      <c r="D20" s="141"/>
      <c r="E20" s="146"/>
      <c r="F20" s="141"/>
      <c r="G20" s="154"/>
      <c r="H20" s="141"/>
      <c r="I20" s="154"/>
      <c r="J20" s="141"/>
      <c r="K20" s="154"/>
      <c r="L20" s="141"/>
      <c r="M20" s="146"/>
      <c r="N20" s="142"/>
      <c r="O20" s="146"/>
      <c r="P20" s="142"/>
      <c r="Q20" s="285"/>
      <c r="R20" s="142"/>
      <c r="S20" s="284"/>
    </row>
    <row r="21" spans="1:19">
      <c r="A21" s="150"/>
      <c r="B21" s="156" t="s">
        <v>303</v>
      </c>
      <c r="C21" s="140"/>
      <c r="D21" s="141"/>
      <c r="E21" s="160">
        <v>2636178</v>
      </c>
      <c r="F21" s="140"/>
      <c r="G21" s="160" t="e">
        <v>#REF!</v>
      </c>
      <c r="H21" s="140"/>
      <c r="I21" s="160" t="e">
        <v>#REF!</v>
      </c>
      <c r="J21" s="140"/>
      <c r="K21" s="160" t="e">
        <v>#REF!</v>
      </c>
      <c r="L21" s="141"/>
      <c r="M21" s="264">
        <f>+M9+M14+M19</f>
        <v>7841121</v>
      </c>
      <c r="N21" s="141"/>
      <c r="O21" s="264">
        <f>+O9+O14+O19</f>
        <v>7935105</v>
      </c>
      <c r="P21" s="141"/>
      <c r="Q21" s="264">
        <f>+Q9+Q14+Q19</f>
        <v>93984</v>
      </c>
      <c r="R21" s="182"/>
      <c r="S21" s="145">
        <f t="shared" si="1"/>
        <v>1.1986041281597363E-2</v>
      </c>
    </row>
    <row r="22" spans="1:19">
      <c r="A22" s="150"/>
      <c r="B22" s="159"/>
      <c r="C22" s="141"/>
      <c r="D22" s="141"/>
      <c r="E22" s="174"/>
      <c r="F22" s="141"/>
      <c r="G22" s="174"/>
      <c r="H22" s="141"/>
      <c r="I22" s="174"/>
      <c r="J22" s="141"/>
      <c r="K22" s="174"/>
      <c r="L22" s="141"/>
      <c r="M22" s="242"/>
      <c r="N22" s="141"/>
      <c r="O22" s="242"/>
      <c r="P22" s="141"/>
      <c r="Q22" s="276"/>
      <c r="R22" s="182"/>
      <c r="S22" s="243"/>
    </row>
    <row r="23" spans="1:19" ht="15.75" customHeight="1">
      <c r="A23" s="150"/>
      <c r="B23" s="141"/>
      <c r="C23" s="141"/>
      <c r="D23" s="141"/>
      <c r="E23" s="146"/>
      <c r="F23" s="141"/>
      <c r="G23" s="144"/>
      <c r="H23" s="141"/>
      <c r="I23" s="144"/>
      <c r="J23" s="141"/>
      <c r="K23" s="144"/>
      <c r="L23" s="141"/>
      <c r="M23" s="144"/>
      <c r="N23" s="141"/>
      <c r="O23" s="144"/>
      <c r="P23" s="141"/>
      <c r="Q23" s="274"/>
      <c r="R23" s="141"/>
      <c r="S23" s="141"/>
    </row>
    <row r="24" spans="1:19">
      <c r="A24" s="150"/>
      <c r="B24" s="150"/>
      <c r="C24" s="150"/>
      <c r="D24" s="150"/>
      <c r="E24" s="165"/>
      <c r="F24" s="141"/>
      <c r="G24" s="144"/>
      <c r="H24" s="144"/>
      <c r="I24" s="144"/>
      <c r="J24" s="144"/>
      <c r="K24" s="144"/>
      <c r="L24" s="144"/>
      <c r="M24" s="144"/>
      <c r="N24" s="144"/>
      <c r="O24" s="144"/>
      <c r="P24" s="141"/>
      <c r="Q24" s="274"/>
      <c r="R24" s="144"/>
      <c r="S24" s="141"/>
    </row>
    <row r="25" spans="1:19">
      <c r="A25" s="150"/>
      <c r="B25" s="166" t="s">
        <v>309</v>
      </c>
      <c r="C25" s="167"/>
      <c r="D25" s="168"/>
      <c r="E25" s="169" t="s">
        <v>92</v>
      </c>
      <c r="F25" s="140"/>
      <c r="G25" s="169" t="s">
        <v>234</v>
      </c>
      <c r="H25" s="170"/>
      <c r="I25" s="169" t="s">
        <v>238</v>
      </c>
      <c r="J25" s="170"/>
      <c r="K25" s="169" t="s">
        <v>238</v>
      </c>
      <c r="L25" s="165"/>
      <c r="M25" s="265" t="str">
        <f>+M4</f>
        <v>FY 24</v>
      </c>
      <c r="N25" s="266"/>
      <c r="O25" s="265" t="str">
        <f>+O4</f>
        <v>FY 25</v>
      </c>
      <c r="P25" s="141"/>
      <c r="Q25" s="277" t="s">
        <v>277</v>
      </c>
      <c r="R25" s="165"/>
      <c r="S25" s="171" t="s">
        <v>278</v>
      </c>
    </row>
    <row r="26" spans="1:19">
      <c r="A26" s="150"/>
      <c r="B26" s="141"/>
      <c r="C26" s="141"/>
      <c r="D26" s="141"/>
      <c r="E26" s="144"/>
      <c r="F26" s="141"/>
      <c r="G26" s="144"/>
      <c r="H26" s="144"/>
      <c r="I26" s="144"/>
      <c r="J26" s="144"/>
      <c r="K26" s="144"/>
      <c r="L26" s="144"/>
      <c r="M26" s="144"/>
      <c r="N26" s="144"/>
      <c r="O26" s="144"/>
      <c r="P26" s="141"/>
      <c r="Q26" s="278"/>
      <c r="R26" s="144"/>
      <c r="S26" s="141"/>
    </row>
    <row r="27" spans="1:19">
      <c r="A27" s="150"/>
      <c r="B27" s="141" t="s">
        <v>299</v>
      </c>
      <c r="C27" s="141"/>
      <c r="D27" s="141"/>
      <c r="E27" s="144">
        <v>2477111</v>
      </c>
      <c r="F27" s="141"/>
      <c r="G27" s="144" t="e">
        <v>#REF!</v>
      </c>
      <c r="H27" s="146"/>
      <c r="I27" s="144" t="e">
        <v>#REF!</v>
      </c>
      <c r="J27" s="146"/>
      <c r="K27" s="144" t="e">
        <v>#REF!</v>
      </c>
      <c r="L27" s="146"/>
      <c r="M27" s="144">
        <v>4684465</v>
      </c>
      <c r="N27" s="146"/>
      <c r="O27" s="144">
        <f>7292006-2468658</f>
        <v>4823348</v>
      </c>
      <c r="P27" s="141"/>
      <c r="Q27" s="274">
        <f>+O27-M27</f>
        <v>138883</v>
      </c>
      <c r="R27" s="153"/>
      <c r="S27" s="145">
        <f>+Q27/M27</f>
        <v>2.9647569146103132E-2</v>
      </c>
    </row>
    <row r="28" spans="1:19">
      <c r="A28" s="150"/>
      <c r="B28" s="141" t="s">
        <v>375</v>
      </c>
      <c r="C28" s="141"/>
      <c r="D28" s="141"/>
      <c r="E28" s="144"/>
      <c r="F28" s="141"/>
      <c r="G28" s="144"/>
      <c r="H28" s="146"/>
      <c r="I28" s="144"/>
      <c r="J28" s="146"/>
      <c r="K28" s="144"/>
      <c r="L28" s="146"/>
      <c r="M28" s="146">
        <v>2511703</v>
      </c>
      <c r="N28" s="146"/>
      <c r="O28" s="146">
        <v>2453658</v>
      </c>
      <c r="P28" s="142"/>
      <c r="Q28" s="285">
        <f>+O28-M28</f>
        <v>-58045</v>
      </c>
      <c r="R28" s="154"/>
      <c r="S28" s="284">
        <f>+Q28/M28</f>
        <v>-2.3109818318487498E-2</v>
      </c>
    </row>
    <row r="29" spans="1:19">
      <c r="A29" s="150"/>
      <c r="B29" s="141" t="s">
        <v>442</v>
      </c>
      <c r="C29" s="141"/>
      <c r="D29" s="141"/>
      <c r="E29" s="144"/>
      <c r="F29" s="141"/>
      <c r="G29" s="144"/>
      <c r="H29" s="146"/>
      <c r="I29" s="144"/>
      <c r="J29" s="146"/>
      <c r="K29" s="144"/>
      <c r="L29" s="146"/>
      <c r="M29" s="147">
        <v>15000</v>
      </c>
      <c r="N29" s="147"/>
      <c r="O29" s="147">
        <v>15000</v>
      </c>
      <c r="P29" s="286"/>
      <c r="Q29" s="287">
        <f>+O29-M29</f>
        <v>0</v>
      </c>
      <c r="R29" s="155"/>
      <c r="S29" s="148">
        <f>+Q29/M29</f>
        <v>0</v>
      </c>
    </row>
    <row r="30" spans="1:19">
      <c r="A30" s="150"/>
      <c r="B30" s="244" t="s">
        <v>376</v>
      </c>
      <c r="C30" s="244"/>
      <c r="D30" s="182"/>
      <c r="E30" s="241"/>
      <c r="F30" s="182"/>
      <c r="G30" s="241"/>
      <c r="H30" s="242"/>
      <c r="I30" s="241"/>
      <c r="J30" s="242"/>
      <c r="K30" s="241"/>
      <c r="L30" s="242"/>
      <c r="M30" s="245">
        <f>SUM(M27:M29)</f>
        <v>7211168</v>
      </c>
      <c r="N30" s="242"/>
      <c r="O30" s="245">
        <f>SUM(O27:O29)</f>
        <v>7292006</v>
      </c>
      <c r="P30" s="182"/>
      <c r="Q30" s="279">
        <f>SUM(Q27:Q29)</f>
        <v>80838</v>
      </c>
      <c r="R30" s="164"/>
      <c r="S30" s="145">
        <f>+Q30/M30</f>
        <v>1.1210111870920218E-2</v>
      </c>
    </row>
    <row r="31" spans="1:19">
      <c r="A31" s="150"/>
      <c r="B31" s="141"/>
      <c r="C31" s="141"/>
      <c r="D31" s="141"/>
      <c r="E31" s="144"/>
      <c r="F31" s="141"/>
      <c r="G31" s="144"/>
      <c r="H31" s="146"/>
      <c r="I31" s="144"/>
      <c r="J31" s="146"/>
      <c r="K31" s="144"/>
      <c r="L31" s="146"/>
      <c r="M31" s="144"/>
      <c r="N31" s="146"/>
      <c r="O31" s="144"/>
      <c r="P31" s="141"/>
      <c r="Q31" s="274"/>
      <c r="R31" s="153"/>
      <c r="S31" s="145"/>
    </row>
    <row r="32" spans="1:19">
      <c r="A32" s="150"/>
      <c r="B32" s="141" t="s">
        <v>519</v>
      </c>
      <c r="C32" s="141"/>
      <c r="D32" s="141"/>
      <c r="E32" s="144">
        <v>2477111</v>
      </c>
      <c r="F32" s="141"/>
      <c r="G32" s="144" t="e">
        <v>#REF!</v>
      </c>
      <c r="H32" s="146"/>
      <c r="I32" s="144" t="e">
        <v>#REF!</v>
      </c>
      <c r="J32" s="146"/>
      <c r="K32" s="144" t="e">
        <v>#REF!</v>
      </c>
      <c r="L32" s="146"/>
      <c r="M32" s="144">
        <f>302116-5000</f>
        <v>297116</v>
      </c>
      <c r="N32" s="146"/>
      <c r="O32" s="144">
        <f>304266-5000</f>
        <v>299266</v>
      </c>
      <c r="P32" s="141"/>
      <c r="Q32" s="274">
        <f>+O32-M32</f>
        <v>2150</v>
      </c>
      <c r="R32" s="153"/>
      <c r="S32" s="145">
        <f>+Q32/M32</f>
        <v>7.2362309670297121E-3</v>
      </c>
    </row>
    <row r="33" spans="1:22">
      <c r="A33" s="150"/>
      <c r="B33" s="141" t="s">
        <v>518</v>
      </c>
      <c r="C33" s="141"/>
      <c r="D33" s="141"/>
      <c r="E33" s="144"/>
      <c r="F33" s="141"/>
      <c r="G33" s="144"/>
      <c r="H33" s="146"/>
      <c r="I33" s="144"/>
      <c r="J33" s="146"/>
      <c r="K33" s="144"/>
      <c r="L33" s="146"/>
      <c r="M33" s="146">
        <v>0</v>
      </c>
      <c r="N33" s="146"/>
      <c r="O33" s="146">
        <v>0</v>
      </c>
      <c r="P33" s="142"/>
      <c r="Q33" s="285">
        <f>+O33-M33</f>
        <v>0</v>
      </c>
      <c r="R33" s="154"/>
      <c r="S33" s="284">
        <v>0</v>
      </c>
    </row>
    <row r="34" spans="1:22">
      <c r="A34" s="150"/>
      <c r="B34" s="141" t="s">
        <v>517</v>
      </c>
      <c r="C34" s="141"/>
      <c r="D34" s="141"/>
      <c r="E34" s="144"/>
      <c r="F34" s="141"/>
      <c r="G34" s="144"/>
      <c r="H34" s="146"/>
      <c r="I34" s="144"/>
      <c r="J34" s="146"/>
      <c r="K34" s="144"/>
      <c r="L34" s="146"/>
      <c r="M34" s="147">
        <v>5000</v>
      </c>
      <c r="N34" s="147"/>
      <c r="O34" s="147">
        <v>5000</v>
      </c>
      <c r="P34" s="286"/>
      <c r="Q34" s="287">
        <f>+O34-M34</f>
        <v>0</v>
      </c>
      <c r="R34" s="155"/>
      <c r="S34" s="148">
        <f>+Q34/M34</f>
        <v>0</v>
      </c>
    </row>
    <row r="35" spans="1:22">
      <c r="A35" s="150"/>
      <c r="B35" s="244" t="s">
        <v>516</v>
      </c>
      <c r="C35" s="244"/>
      <c r="D35" s="182"/>
      <c r="E35" s="241"/>
      <c r="F35" s="182"/>
      <c r="G35" s="241"/>
      <c r="H35" s="242"/>
      <c r="I35" s="241"/>
      <c r="J35" s="242"/>
      <c r="K35" s="241"/>
      <c r="L35" s="242"/>
      <c r="M35" s="245">
        <f>SUM(M32:M34)</f>
        <v>302116</v>
      </c>
      <c r="N35" s="242"/>
      <c r="O35" s="245">
        <f>SUM(O32:O34)</f>
        <v>304266</v>
      </c>
      <c r="P35" s="182"/>
      <c r="Q35" s="279">
        <f>SUM(Q32:Q34)</f>
        <v>2150</v>
      </c>
      <c r="R35" s="164"/>
      <c r="S35" s="145">
        <f>+Q35/M35</f>
        <v>7.1164718187715975E-3</v>
      </c>
    </row>
    <row r="36" spans="1:22">
      <c r="A36" s="150"/>
      <c r="B36" s="182"/>
      <c r="C36" s="182"/>
      <c r="D36" s="182"/>
      <c r="E36" s="241"/>
      <c r="F36" s="182"/>
      <c r="G36" s="241"/>
      <c r="H36" s="242"/>
      <c r="I36" s="241"/>
      <c r="J36" s="242"/>
      <c r="K36" s="241"/>
      <c r="L36" s="242"/>
      <c r="M36" s="241"/>
      <c r="N36" s="242"/>
      <c r="O36" s="241"/>
      <c r="P36" s="182"/>
      <c r="Q36" s="276"/>
      <c r="R36" s="164"/>
      <c r="S36" s="145"/>
    </row>
    <row r="37" spans="1:22">
      <c r="A37" s="150"/>
      <c r="B37" s="142" t="s">
        <v>317</v>
      </c>
      <c r="C37" s="142"/>
      <c r="D37" s="142"/>
      <c r="E37" s="146">
        <v>159067</v>
      </c>
      <c r="F37" s="142"/>
      <c r="G37" s="144" t="e">
        <v>#REF!</v>
      </c>
      <c r="H37" s="146"/>
      <c r="I37" s="144" t="e">
        <v>#REF!</v>
      </c>
      <c r="J37" s="146"/>
      <c r="K37" s="144" t="e">
        <v>#REF!</v>
      </c>
      <c r="L37" s="146"/>
      <c r="M37" s="144">
        <f>327837-47000</f>
        <v>280837</v>
      </c>
      <c r="N37" s="146"/>
      <c r="O37" s="144">
        <f>338833-47000</f>
        <v>291833</v>
      </c>
      <c r="P37" s="141"/>
      <c r="Q37" s="274">
        <f>+O37-M37</f>
        <v>10996</v>
      </c>
      <c r="R37" s="153"/>
      <c r="S37" s="145">
        <f>+Q37/M37</f>
        <v>3.9154384927911921E-2</v>
      </c>
      <c r="V37" s="107"/>
    </row>
    <row r="38" spans="1:22">
      <c r="A38" s="150"/>
      <c r="B38" s="141" t="s">
        <v>377</v>
      </c>
      <c r="C38" s="141"/>
      <c r="D38" s="141"/>
      <c r="E38" s="144"/>
      <c r="F38" s="141"/>
      <c r="G38" s="144"/>
      <c r="H38" s="146"/>
      <c r="I38" s="144"/>
      <c r="J38" s="146"/>
      <c r="K38" s="144"/>
      <c r="L38" s="146"/>
      <c r="M38" s="146">
        <v>42000</v>
      </c>
      <c r="N38" s="146"/>
      <c r="O38" s="146">
        <v>42000</v>
      </c>
      <c r="P38" s="142"/>
      <c r="Q38" s="285">
        <f>+O38-M38</f>
        <v>0</v>
      </c>
      <c r="R38" s="154"/>
      <c r="S38" s="284"/>
      <c r="V38" s="107"/>
    </row>
    <row r="39" spans="1:22">
      <c r="A39" s="150"/>
      <c r="B39" s="141" t="s">
        <v>443</v>
      </c>
      <c r="C39" s="141"/>
      <c r="D39" s="141"/>
      <c r="E39" s="144"/>
      <c r="F39" s="141"/>
      <c r="G39" s="144"/>
      <c r="H39" s="146"/>
      <c r="I39" s="144"/>
      <c r="J39" s="146"/>
      <c r="K39" s="144"/>
      <c r="L39" s="146"/>
      <c r="M39" s="147">
        <v>5000</v>
      </c>
      <c r="N39" s="147"/>
      <c r="O39" s="147">
        <v>5000</v>
      </c>
      <c r="P39" s="141"/>
      <c r="Q39" s="275">
        <f>+O39-M39</f>
        <v>0</v>
      </c>
      <c r="R39" s="153"/>
      <c r="S39" s="148">
        <f>+Q39/M39</f>
        <v>0</v>
      </c>
      <c r="V39" s="107"/>
    </row>
    <row r="40" spans="1:22">
      <c r="A40" s="150"/>
      <c r="B40" s="244" t="s">
        <v>378</v>
      </c>
      <c r="C40" s="244"/>
      <c r="D40" s="182"/>
      <c r="E40" s="241"/>
      <c r="F40" s="182"/>
      <c r="G40" s="241"/>
      <c r="H40" s="242"/>
      <c r="I40" s="241"/>
      <c r="J40" s="242"/>
      <c r="K40" s="241"/>
      <c r="L40" s="242"/>
      <c r="M40" s="245">
        <f>SUM(M37:M39)</f>
        <v>327837</v>
      </c>
      <c r="N40" s="242"/>
      <c r="O40" s="245">
        <f>SUM(O37:O39)</f>
        <v>338833</v>
      </c>
      <c r="P40" s="182"/>
      <c r="Q40" s="245">
        <f>SUM(Q37:Q39)</f>
        <v>10996</v>
      </c>
      <c r="R40" s="164"/>
      <c r="S40" s="145">
        <f>+Q40/M40</f>
        <v>3.3541058513834619E-2</v>
      </c>
    </row>
    <row r="41" spans="1:22">
      <c r="A41" s="150"/>
      <c r="B41" s="142"/>
      <c r="C41" s="142"/>
      <c r="D41" s="142"/>
      <c r="E41" s="146"/>
      <c r="F41" s="142"/>
      <c r="G41" s="144"/>
      <c r="H41" s="146"/>
      <c r="I41" s="144"/>
      <c r="J41" s="146"/>
      <c r="K41" s="144"/>
      <c r="L41" s="146"/>
      <c r="M41" s="144"/>
      <c r="N41" s="146"/>
      <c r="O41" s="144"/>
      <c r="P41" s="141"/>
      <c r="Q41" s="274"/>
      <c r="R41" s="153"/>
      <c r="S41" s="145"/>
      <c r="V41" s="107"/>
    </row>
    <row r="42" spans="1:22" ht="15.75" thickBot="1">
      <c r="A42" s="150"/>
      <c r="B42" s="156" t="s">
        <v>381</v>
      </c>
      <c r="C42" s="140"/>
      <c r="D42" s="141"/>
      <c r="E42" s="160">
        <v>2636179</v>
      </c>
      <c r="F42" s="140"/>
      <c r="G42" s="160" t="e">
        <v>#REF!</v>
      </c>
      <c r="H42" s="140"/>
      <c r="I42" s="160" t="e">
        <v>#REF!</v>
      </c>
      <c r="J42" s="140"/>
      <c r="K42" s="160" t="e">
        <v>#REF!</v>
      </c>
      <c r="L42" s="141"/>
      <c r="M42" s="267">
        <f>+M30+M35+M40</f>
        <v>7841121</v>
      </c>
      <c r="N42" s="141"/>
      <c r="O42" s="267">
        <f>+O30+O35+O40</f>
        <v>7935105</v>
      </c>
      <c r="P42" s="141"/>
      <c r="Q42" s="267">
        <f>+Q30+Q35+Q40</f>
        <v>93984</v>
      </c>
      <c r="R42" s="182"/>
      <c r="S42" s="263">
        <f>+Q42/M42</f>
        <v>1.1986041281597363E-2</v>
      </c>
    </row>
    <row r="43" spans="1:22" ht="15.75" thickTop="1">
      <c r="A43" s="150"/>
      <c r="B43" s="159"/>
      <c r="C43" s="141"/>
      <c r="D43" s="141"/>
      <c r="E43" s="144"/>
      <c r="F43" s="141"/>
      <c r="G43" s="144"/>
      <c r="H43" s="146"/>
      <c r="I43" s="144"/>
      <c r="J43" s="146"/>
      <c r="K43" s="144"/>
      <c r="L43" s="146"/>
      <c r="M43" s="144"/>
      <c r="N43" s="146"/>
      <c r="O43" s="144"/>
      <c r="P43" s="141"/>
      <c r="Q43" s="271"/>
      <c r="R43" s="146"/>
      <c r="S43" s="141"/>
    </row>
    <row r="44" spans="1:22">
      <c r="A44" s="150"/>
      <c r="B44" s="159"/>
      <c r="C44" s="141"/>
      <c r="D44" s="141"/>
      <c r="E44" s="144"/>
      <c r="F44" s="141"/>
      <c r="G44" s="144"/>
      <c r="H44" s="146"/>
      <c r="I44" s="144"/>
      <c r="J44" s="146"/>
      <c r="K44" s="144"/>
      <c r="L44" s="146"/>
      <c r="M44" s="144"/>
      <c r="N44" s="146"/>
      <c r="O44" s="144"/>
      <c r="P44" s="141"/>
      <c r="Q44" s="272"/>
      <c r="R44" s="146"/>
      <c r="S44" s="141"/>
    </row>
    <row r="45" spans="1:22" ht="15.75" thickBot="1">
      <c r="A45" s="150"/>
      <c r="B45" s="166" t="s">
        <v>524</v>
      </c>
      <c r="C45" s="167"/>
      <c r="D45" s="159"/>
      <c r="E45" s="161" t="e">
        <v>#REF!</v>
      </c>
      <c r="F45" s="140"/>
      <c r="G45" s="161" t="e">
        <v>#REF!</v>
      </c>
      <c r="H45" s="160"/>
      <c r="I45" s="161" t="e">
        <v>#REF!</v>
      </c>
      <c r="J45" s="160"/>
      <c r="K45" s="161" t="e">
        <v>#REF!</v>
      </c>
      <c r="L45" s="174"/>
      <c r="M45" s="161">
        <f>+M21-M42</f>
        <v>0</v>
      </c>
      <c r="N45" s="174"/>
      <c r="O45" s="161">
        <f>+O21-O42</f>
        <v>0</v>
      </c>
      <c r="P45" s="141"/>
      <c r="Q45" s="161">
        <f>+Q21-Q42</f>
        <v>0</v>
      </c>
      <c r="R45" s="174"/>
      <c r="S45" s="145"/>
    </row>
    <row r="46" spans="1:22" ht="15.75" thickTop="1">
      <c r="A46" s="176"/>
      <c r="B46" s="177"/>
      <c r="C46" s="178"/>
      <c r="D46" s="178"/>
      <c r="E46" s="177"/>
      <c r="F46" s="178"/>
      <c r="G46" s="152"/>
      <c r="H46" s="152"/>
      <c r="I46" s="152"/>
      <c r="J46" s="152"/>
      <c r="K46" s="152"/>
      <c r="L46" s="152"/>
      <c r="M46" s="178"/>
      <c r="N46" s="152"/>
      <c r="O46" s="152"/>
      <c r="P46" s="152"/>
      <c r="R46" s="178"/>
      <c r="S46" s="178"/>
    </row>
    <row r="47" spans="1:22" customFormat="1">
      <c r="Q47" s="273"/>
    </row>
    <row r="48" spans="1:22" customFormat="1" ht="15.7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Q48" s="273"/>
    </row>
    <row r="49" spans="1:17" customFormat="1" ht="15.75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Q49" s="273"/>
    </row>
    <row r="50" spans="1:17" customFormat="1">
      <c r="Q50" s="273"/>
    </row>
    <row r="51" spans="1:17" customFormat="1">
      <c r="Q51" s="273"/>
    </row>
    <row r="52" spans="1:17" customFormat="1">
      <c r="Q52" s="273"/>
    </row>
    <row r="53" spans="1:17" customFormat="1">
      <c r="Q53" s="273"/>
    </row>
    <row r="54" spans="1:17" customFormat="1">
      <c r="Q54" s="273"/>
    </row>
    <row r="55" spans="1:17" customFormat="1">
      <c r="Q55" s="273"/>
    </row>
    <row r="56" spans="1:17" customFormat="1">
      <c r="Q56" s="273"/>
    </row>
    <row r="57" spans="1:17" customFormat="1">
      <c r="Q57" s="273"/>
    </row>
    <row r="58" spans="1:17" customFormat="1">
      <c r="Q58" s="273"/>
    </row>
    <row r="59" spans="1:17" customFormat="1">
      <c r="Q59" s="273"/>
    </row>
    <row r="60" spans="1:17" customFormat="1">
      <c r="Q60" s="273"/>
    </row>
    <row r="61" spans="1:17" customFormat="1">
      <c r="Q61" s="273"/>
    </row>
    <row r="62" spans="1:17" customFormat="1">
      <c r="Q62" s="273"/>
    </row>
    <row r="63" spans="1:17" customFormat="1">
      <c r="Q63" s="273"/>
    </row>
    <row r="64" spans="1:17" customFormat="1">
      <c r="Q64" s="273"/>
    </row>
    <row r="65" spans="13:17" customFormat="1">
      <c r="Q65" s="273"/>
    </row>
    <row r="66" spans="13:17" customFormat="1">
      <c r="Q66" s="273"/>
    </row>
    <row r="67" spans="13:17" customFormat="1">
      <c r="Q67" s="273"/>
    </row>
    <row r="68" spans="13:17" customFormat="1">
      <c r="Q68" s="273"/>
    </row>
    <row r="69" spans="13:17" customFormat="1">
      <c r="Q69" s="273"/>
    </row>
    <row r="70" spans="13:17" customFormat="1">
      <c r="Q70" s="273"/>
    </row>
    <row r="71" spans="13:17" customFormat="1">
      <c r="Q71" s="273"/>
    </row>
    <row r="72" spans="13:17" customFormat="1">
      <c r="Q72" s="273"/>
    </row>
    <row r="73" spans="13:17" customFormat="1">
      <c r="Q73" s="273"/>
    </row>
    <row r="74" spans="13:17" customFormat="1">
      <c r="Q74" s="273"/>
    </row>
    <row r="75" spans="13:17" customFormat="1">
      <c r="Q75" s="273"/>
    </row>
    <row r="76" spans="13:17" customFormat="1">
      <c r="Q76" s="273"/>
    </row>
    <row r="77" spans="13:17" customFormat="1">
      <c r="Q77" s="273"/>
    </row>
    <row r="78" spans="13:17" customFormat="1">
      <c r="Q78" s="273"/>
    </row>
    <row r="79" spans="13:17" customFormat="1">
      <c r="Q79" s="273"/>
    </row>
    <row r="80" spans="13:17">
      <c r="M80" s="108"/>
    </row>
    <row r="98" spans="1:15">
      <c r="A98" s="476" t="s">
        <v>273</v>
      </c>
      <c r="B98" s="477"/>
      <c r="C98" s="477"/>
      <c r="M98" s="477" t="s">
        <v>309</v>
      </c>
      <c r="N98" s="477"/>
      <c r="O98" s="477"/>
    </row>
    <row r="99" spans="1:15">
      <c r="M99" s="101"/>
      <c r="N99" s="105"/>
      <c r="O99" s="101"/>
    </row>
    <row r="100" spans="1:15">
      <c r="A100" s="131">
        <v>1</v>
      </c>
      <c r="B100" s="132" t="s">
        <v>279</v>
      </c>
      <c r="C100" s="133"/>
      <c r="L100" s="114">
        <v>1</v>
      </c>
      <c r="M100" s="132" t="s">
        <v>329</v>
      </c>
      <c r="N100" s="133"/>
      <c r="O100" s="134"/>
    </row>
    <row r="101" spans="1:15">
      <c r="A101" s="131"/>
      <c r="L101" s="114"/>
      <c r="M101" s="135" t="s">
        <v>330</v>
      </c>
    </row>
    <row r="102" spans="1:15">
      <c r="A102" s="131">
        <v>2</v>
      </c>
      <c r="B102" s="132" t="s">
        <v>288</v>
      </c>
      <c r="C102" s="133"/>
      <c r="L102" s="114"/>
      <c r="M102" s="135" t="s">
        <v>310</v>
      </c>
    </row>
    <row r="103" spans="1:15">
      <c r="A103" s="131"/>
      <c r="L103" s="114"/>
      <c r="M103" s="135" t="s">
        <v>311</v>
      </c>
    </row>
    <row r="104" spans="1:15">
      <c r="A104" s="131">
        <v>3</v>
      </c>
      <c r="B104" s="132" t="s">
        <v>289</v>
      </c>
      <c r="C104" s="133"/>
      <c r="L104" s="114"/>
      <c r="M104" s="135" t="s">
        <v>312</v>
      </c>
    </row>
    <row r="105" spans="1:15">
      <c r="A105" s="131"/>
      <c r="B105" s="135" t="s">
        <v>331</v>
      </c>
      <c r="C105" s="135"/>
      <c r="L105" s="114"/>
      <c r="M105" s="135" t="s">
        <v>230</v>
      </c>
    </row>
    <row r="106" spans="1:15">
      <c r="A106" s="131"/>
      <c r="B106" s="135" t="s">
        <v>291</v>
      </c>
      <c r="C106" s="135"/>
      <c r="L106" s="114"/>
      <c r="M106" s="135" t="s">
        <v>313</v>
      </c>
    </row>
    <row r="107" spans="1:15">
      <c r="A107" s="131"/>
      <c r="B107" s="135" t="s">
        <v>292</v>
      </c>
      <c r="C107" s="135"/>
      <c r="L107" s="114"/>
      <c r="M107" s="135" t="s">
        <v>205</v>
      </c>
    </row>
    <row r="108" spans="1:15">
      <c r="A108" s="131"/>
      <c r="B108" s="135" t="s">
        <v>293</v>
      </c>
      <c r="C108" s="135"/>
      <c r="L108" s="114"/>
      <c r="M108" s="135" t="s">
        <v>314</v>
      </c>
    </row>
    <row r="109" spans="1:15">
      <c r="A109" s="131"/>
      <c r="B109" s="135" t="s">
        <v>332</v>
      </c>
      <c r="C109" s="135"/>
      <c r="L109" s="114"/>
      <c r="M109" s="135" t="s">
        <v>315</v>
      </c>
    </row>
    <row r="110" spans="1:15">
      <c r="A110" s="131"/>
      <c r="B110" s="135" t="s">
        <v>294</v>
      </c>
      <c r="C110" s="135"/>
      <c r="L110" s="114"/>
    </row>
    <row r="111" spans="1:15">
      <c r="A111" s="131"/>
      <c r="B111" s="135" t="s">
        <v>295</v>
      </c>
      <c r="C111" s="135"/>
      <c r="L111" s="114">
        <v>2</v>
      </c>
      <c r="M111" s="132" t="s">
        <v>298</v>
      </c>
      <c r="N111" s="132"/>
      <c r="O111" s="134"/>
    </row>
    <row r="112" spans="1:15">
      <c r="A112" s="131"/>
      <c r="B112" s="135" t="s">
        <v>296</v>
      </c>
      <c r="C112" s="135"/>
      <c r="L112" s="114"/>
      <c r="M112" s="135" t="s">
        <v>299</v>
      </c>
    </row>
    <row r="113" spans="1:15">
      <c r="A113" s="131"/>
      <c r="B113" s="106"/>
      <c r="L113" s="114"/>
      <c r="M113" s="135" t="s">
        <v>300</v>
      </c>
    </row>
    <row r="114" spans="1:15">
      <c r="A114" s="131">
        <v>4</v>
      </c>
      <c r="B114" s="136" t="s">
        <v>298</v>
      </c>
      <c r="C114" s="137"/>
      <c r="L114" s="114"/>
      <c r="M114" s="138" t="s">
        <v>317</v>
      </c>
      <c r="N114" s="105"/>
    </row>
    <row r="115" spans="1:15">
      <c r="A115"/>
      <c r="B115" s="135" t="s">
        <v>299</v>
      </c>
      <c r="C115" s="135"/>
      <c r="L115" s="114"/>
      <c r="M115" s="135" t="s">
        <v>318</v>
      </c>
    </row>
    <row r="116" spans="1:15">
      <c r="A116"/>
      <c r="B116" s="135" t="s">
        <v>300</v>
      </c>
      <c r="C116" s="135"/>
      <c r="L116" s="114"/>
    </row>
    <row r="117" spans="1:15">
      <c r="A117"/>
      <c r="B117" s="135" t="s">
        <v>301</v>
      </c>
      <c r="C117" s="135"/>
      <c r="L117" s="114">
        <v>3</v>
      </c>
      <c r="M117" s="132" t="s">
        <v>136</v>
      </c>
      <c r="N117" s="133"/>
      <c r="O117" s="134"/>
    </row>
    <row r="118" spans="1:15">
      <c r="A118"/>
      <c r="B118" s="135" t="s">
        <v>302</v>
      </c>
      <c r="C118" s="135"/>
      <c r="L118" s="114"/>
      <c r="M118" s="135" t="s">
        <v>319</v>
      </c>
    </row>
    <row r="119" spans="1:15">
      <c r="A119"/>
      <c r="B119"/>
      <c r="C119"/>
      <c r="L119" s="114"/>
      <c r="M119" s="135" t="s">
        <v>320</v>
      </c>
      <c r="N119" s="106"/>
    </row>
    <row r="120" spans="1:15">
      <c r="A120"/>
      <c r="L120" s="114"/>
    </row>
    <row r="121" spans="1:15">
      <c r="A121" s="98"/>
      <c r="B121" s="98"/>
      <c r="C121" s="98"/>
      <c r="L121" s="114">
        <v>4</v>
      </c>
      <c r="M121" s="132" t="s">
        <v>322</v>
      </c>
      <c r="N121" s="133"/>
      <c r="O121" s="134"/>
    </row>
    <row r="122" spans="1:15">
      <c r="M122" s="135" t="s">
        <v>323</v>
      </c>
    </row>
    <row r="123" spans="1:15">
      <c r="M123" s="135" t="s">
        <v>324</v>
      </c>
    </row>
    <row r="125" spans="1:15">
      <c r="M125"/>
      <c r="N125"/>
      <c r="O125" s="139"/>
    </row>
    <row r="126" spans="1:15">
      <c r="M126"/>
      <c r="N126"/>
      <c r="O126" s="139"/>
    </row>
    <row r="127" spans="1:15">
      <c r="M127"/>
      <c r="N127"/>
      <c r="O127" s="139"/>
    </row>
    <row r="128" spans="1:15">
      <c r="M128"/>
      <c r="N128"/>
      <c r="O128" s="139"/>
    </row>
    <row r="129" spans="13:15">
      <c r="M129"/>
      <c r="N129"/>
      <c r="O129" s="139"/>
    </row>
    <row r="130" spans="13:15">
      <c r="M130"/>
      <c r="N130"/>
      <c r="O130" s="139"/>
    </row>
    <row r="131" spans="13:15">
      <c r="M131"/>
      <c r="N131"/>
      <c r="O131" s="139"/>
    </row>
    <row r="132" spans="13:15">
      <c r="M132"/>
      <c r="N132"/>
      <c r="O132" s="139"/>
    </row>
    <row r="133" spans="13:15">
      <c r="M133"/>
      <c r="N133"/>
      <c r="O133" s="139"/>
    </row>
    <row r="134" spans="13:15">
      <c r="M134"/>
      <c r="N134"/>
      <c r="O134" s="139"/>
    </row>
    <row r="135" spans="13:15">
      <c r="M135"/>
      <c r="N135"/>
      <c r="O135" s="139"/>
    </row>
  </sheetData>
  <mergeCells count="4">
    <mergeCell ref="A1:S1"/>
    <mergeCell ref="A98:C98"/>
    <mergeCell ref="M98:O98"/>
    <mergeCell ref="A2:S2"/>
  </mergeCells>
  <pageMargins left="0.7" right="0.7" top="0.75" bottom="0.75" header="0.3" footer="0.3"/>
  <pageSetup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>
      <selection activeCell="C5" sqref="C5"/>
    </sheetView>
  </sheetViews>
  <sheetFormatPr defaultColWidth="9" defaultRowHeight="15"/>
  <cols>
    <col min="1" max="1" width="14" style="24" customWidth="1"/>
    <col min="2" max="2" width="10.7109375" style="24" customWidth="1"/>
    <col min="3" max="5" width="7.42578125" style="24" customWidth="1"/>
    <col min="6" max="6" width="12.42578125" style="24" customWidth="1"/>
    <col min="7" max="7" width="12.42578125" style="24" hidden="1" customWidth="1"/>
    <col min="8" max="8" width="12.42578125" style="24" customWidth="1"/>
    <col min="9" max="9" width="12.42578125" style="24" hidden="1" customWidth="1"/>
    <col min="10" max="10" width="12.42578125" style="24" customWidth="1"/>
    <col min="11" max="13" width="9" style="24"/>
    <col min="14" max="14" width="12.5703125" style="24" customWidth="1"/>
    <col min="15" max="15" width="12.5703125" style="24" hidden="1" customWidth="1"/>
    <col min="16" max="18" width="12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654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45</v>
      </c>
      <c r="K8" s="53"/>
    </row>
    <row r="9" spans="1:18">
      <c r="A9" s="24" t="s">
        <v>612</v>
      </c>
      <c r="B9" s="189">
        <v>42660</v>
      </c>
      <c r="C9" s="42"/>
      <c r="D9" s="42" t="s">
        <v>340</v>
      </c>
      <c r="E9" s="42" t="s">
        <v>340</v>
      </c>
      <c r="F9" s="73">
        <v>87962</v>
      </c>
      <c r="G9" s="73">
        <v>3383.15</v>
      </c>
      <c r="H9" s="73"/>
      <c r="I9" s="73">
        <v>300</v>
      </c>
      <c r="J9" s="73">
        <v>0</v>
      </c>
      <c r="K9" s="44"/>
      <c r="L9" s="42"/>
      <c r="M9" s="42"/>
      <c r="N9" s="73">
        <f>+O9*26.125</f>
        <v>91036.337562500004</v>
      </c>
      <c r="O9" s="73">
        <f>+G9*1.03</f>
        <v>3484.6445000000003</v>
      </c>
      <c r="P9" s="73"/>
      <c r="Q9" s="73">
        <v>300</v>
      </c>
      <c r="R9" s="73">
        <v>0</v>
      </c>
    </row>
    <row r="10" spans="1:18">
      <c r="B10" s="189"/>
      <c r="C10" s="42"/>
      <c r="F10" s="73"/>
      <c r="G10" s="73"/>
      <c r="H10" s="73"/>
      <c r="I10" s="73"/>
      <c r="J10" s="73"/>
      <c r="K10" s="44"/>
      <c r="N10" s="73"/>
      <c r="O10" s="73"/>
      <c r="P10" s="73"/>
      <c r="Q10" s="73"/>
      <c r="R10" s="73"/>
    </row>
    <row r="11" spans="1:18">
      <c r="A11" s="24" t="s">
        <v>94</v>
      </c>
      <c r="B11" s="189"/>
      <c r="C11" s="42"/>
      <c r="F11" s="73"/>
      <c r="G11" s="73"/>
      <c r="H11" s="73"/>
      <c r="I11" s="73"/>
      <c r="J11" s="73"/>
      <c r="K11" s="44"/>
      <c r="N11" s="73"/>
      <c r="O11" s="73"/>
      <c r="P11" s="73"/>
      <c r="Q11" s="73"/>
      <c r="R11" s="73"/>
    </row>
    <row r="12" spans="1:18">
      <c r="A12" s="24" t="s">
        <v>629</v>
      </c>
      <c r="B12" s="189">
        <v>44922</v>
      </c>
      <c r="C12" s="42"/>
      <c r="F12" s="73">
        <v>66950</v>
      </c>
      <c r="G12" s="73">
        <v>2575</v>
      </c>
      <c r="H12" s="73"/>
      <c r="I12" s="73">
        <v>0</v>
      </c>
      <c r="J12" s="73">
        <v>0</v>
      </c>
      <c r="K12" s="44"/>
      <c r="N12" s="73">
        <f t="shared" ref="N12:N13" si="0">+O12*26.125</f>
        <v>69290.03125</v>
      </c>
      <c r="O12" s="73">
        <f>+G12*1.03</f>
        <v>2652.25</v>
      </c>
      <c r="P12" s="73"/>
      <c r="Q12" s="73">
        <v>0</v>
      </c>
      <c r="R12" s="73">
        <v>0</v>
      </c>
    </row>
    <row r="13" spans="1:18">
      <c r="A13" s="24" t="s">
        <v>610</v>
      </c>
      <c r="B13" s="189">
        <v>44446</v>
      </c>
      <c r="C13" s="42"/>
      <c r="D13" s="42" t="s">
        <v>100</v>
      </c>
      <c r="E13" s="42">
        <v>3</v>
      </c>
      <c r="F13" s="73">
        <v>23305.1</v>
      </c>
      <c r="G13" s="73">
        <v>896.35</v>
      </c>
      <c r="H13" s="73">
        <v>25.61</v>
      </c>
      <c r="I13" s="73">
        <v>0</v>
      </c>
      <c r="J13" s="73">
        <v>0</v>
      </c>
      <c r="K13" s="44"/>
      <c r="L13" s="42" t="s">
        <v>100</v>
      </c>
      <c r="M13" s="42">
        <v>4</v>
      </c>
      <c r="N13" s="73">
        <f t="shared" si="0"/>
        <v>24112.068750000002</v>
      </c>
      <c r="O13" s="73">
        <v>922.95</v>
      </c>
      <c r="P13" s="73">
        <v>26.37</v>
      </c>
      <c r="Q13" s="73">
        <v>0</v>
      </c>
      <c r="R13" s="73">
        <v>0</v>
      </c>
    </row>
    <row r="14" spans="1:18">
      <c r="B14" s="59"/>
      <c r="E14" s="42"/>
      <c r="F14" s="73"/>
      <c r="G14" s="73"/>
      <c r="H14" s="73"/>
      <c r="K14" s="53"/>
      <c r="M14" s="42"/>
      <c r="N14" s="73"/>
      <c r="O14" s="73"/>
      <c r="P14" s="73"/>
      <c r="Q14" s="73"/>
      <c r="R14" s="73"/>
    </row>
    <row r="15" spans="1:18">
      <c r="B15" s="59"/>
      <c r="K15" s="53"/>
    </row>
    <row r="16" spans="1:18">
      <c r="K16" s="53"/>
    </row>
    <row r="17" spans="1:15">
      <c r="A17" s="40" t="s">
        <v>96</v>
      </c>
      <c r="B17" s="42"/>
      <c r="K17" s="53"/>
    </row>
    <row r="18" spans="1:15">
      <c r="A18" s="24" t="s">
        <v>45</v>
      </c>
      <c r="B18" s="42"/>
      <c r="F18" s="63">
        <f>ROUND(+F9,0)-5000</f>
        <v>82962</v>
      </c>
      <c r="G18" s="60" t="s">
        <v>637</v>
      </c>
      <c r="K18" s="53"/>
      <c r="N18" s="63">
        <f>ROUND(+N9,0)</f>
        <v>91036</v>
      </c>
      <c r="O18" s="60" t="s">
        <v>749</v>
      </c>
    </row>
    <row r="19" spans="1:15">
      <c r="A19" s="24" t="s">
        <v>46</v>
      </c>
      <c r="B19" s="42"/>
      <c r="F19" s="63">
        <v>89255</v>
      </c>
      <c r="G19" s="60" t="s">
        <v>689</v>
      </c>
      <c r="K19" s="53"/>
      <c r="N19" s="63">
        <f>ROUND(+N12+N13+N14,0)</f>
        <v>93402</v>
      </c>
      <c r="O19" s="60" t="s">
        <v>749</v>
      </c>
    </row>
    <row r="20" spans="1:15">
      <c r="A20" s="24" t="s">
        <v>91</v>
      </c>
      <c r="B20" s="42"/>
      <c r="F20" s="36">
        <f>+I9</f>
        <v>300</v>
      </c>
      <c r="K20" s="53"/>
      <c r="N20" s="36">
        <f>+Q9+Q13</f>
        <v>300</v>
      </c>
    </row>
    <row r="21" spans="1:15">
      <c r="A21" s="24" t="s">
        <v>408</v>
      </c>
      <c r="B21" s="42"/>
      <c r="F21" s="54">
        <v>0</v>
      </c>
      <c r="K21" s="53"/>
      <c r="N21" s="54">
        <v>0</v>
      </c>
    </row>
    <row r="22" spans="1:15">
      <c r="A22" s="24" t="s">
        <v>52</v>
      </c>
      <c r="B22" s="42"/>
      <c r="F22" s="63">
        <v>0</v>
      </c>
      <c r="K22" s="53"/>
      <c r="N22" s="63">
        <v>482</v>
      </c>
    </row>
    <row r="23" spans="1:15">
      <c r="B23" s="42"/>
      <c r="F23" s="54"/>
      <c r="K23" s="53"/>
      <c r="N23" s="54"/>
    </row>
    <row r="24" spans="1:15">
      <c r="A24" s="42" t="s">
        <v>337</v>
      </c>
      <c r="B24" s="42"/>
      <c r="F24" s="186">
        <f>SUM(F18:F22)</f>
        <v>172517</v>
      </c>
      <c r="K24" s="53"/>
      <c r="N24" s="186">
        <f>SUM(N18:N22)</f>
        <v>185220</v>
      </c>
    </row>
    <row r="26" spans="1:15">
      <c r="B26" s="42"/>
    </row>
    <row r="27" spans="1:15">
      <c r="B27" s="42"/>
      <c r="F27" s="60" t="s">
        <v>626</v>
      </c>
      <c r="N27" s="60" t="s">
        <v>666</v>
      </c>
    </row>
    <row r="28" spans="1:15">
      <c r="B28" s="42"/>
      <c r="F28" s="60" t="s">
        <v>625</v>
      </c>
      <c r="N28" s="60" t="s">
        <v>664</v>
      </c>
    </row>
    <row r="29" spans="1:15">
      <c r="B29" s="42"/>
      <c r="F29" s="313" t="s">
        <v>97</v>
      </c>
      <c r="G29" s="62"/>
      <c r="H29" s="62"/>
      <c r="I29" s="62"/>
      <c r="K29" s="62"/>
      <c r="L29" s="62"/>
      <c r="M29" s="62"/>
      <c r="N29" s="313" t="s">
        <v>97</v>
      </c>
    </row>
    <row r="30" spans="1:15">
      <c r="B30" s="42"/>
    </row>
    <row r="31" spans="1:15">
      <c r="B31" s="42"/>
    </row>
    <row r="32" spans="1:15">
      <c r="B32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</sheetData>
  <phoneticPr fontId="0" type="noConversion"/>
  <printOptions horizontalCentered="1" gridLines="1"/>
  <pageMargins left="0.45" right="0.35" top="0.75" bottom="1" header="0.3" footer="0.3"/>
  <pageSetup scale="80" orientation="landscape" r:id="rId1"/>
  <headerFooter>
    <oddFooter>&amp;L&amp;D FY25 Budget&amp;CPage 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topLeftCell="A5" workbookViewId="0">
      <selection activeCell="H33" sqref="H33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8" width="14.42578125" style="36" customWidth="1"/>
    <col min="9" max="9" width="14.42578125" style="24" customWidth="1"/>
    <col min="10" max="16384" width="9" style="24"/>
  </cols>
  <sheetData>
    <row r="1" spans="1:10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0">
      <c r="A2" s="30" t="s">
        <v>490</v>
      </c>
    </row>
    <row r="3" spans="1:10">
      <c r="A3" s="30" t="s">
        <v>403</v>
      </c>
    </row>
    <row r="4" spans="1:10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0">
      <c r="A6" s="34" t="s">
        <v>38</v>
      </c>
    </row>
    <row r="7" spans="1:10">
      <c r="A7" s="35" t="s">
        <v>1</v>
      </c>
      <c r="B7" s="24" t="s">
        <v>45</v>
      </c>
      <c r="D7" s="376">
        <v>86524</v>
      </c>
      <c r="E7" s="376">
        <v>90183</v>
      </c>
      <c r="F7" s="201">
        <v>94548</v>
      </c>
      <c r="G7" s="201">
        <f>'Pers 175'!N18</f>
        <v>97853</v>
      </c>
      <c r="H7" s="201">
        <v>97853</v>
      </c>
      <c r="I7" s="201"/>
      <c r="J7" s="67"/>
    </row>
    <row r="8" spans="1:10">
      <c r="A8" s="35" t="s">
        <v>2</v>
      </c>
      <c r="B8" s="24" t="s">
        <v>46</v>
      </c>
      <c r="D8" s="376">
        <v>17443</v>
      </c>
      <c r="E8" s="376">
        <v>23314</v>
      </c>
      <c r="F8" s="201">
        <v>90256</v>
      </c>
      <c r="G8" s="201">
        <f>'Pers 175'!N19</f>
        <v>91384</v>
      </c>
      <c r="H8" s="201">
        <v>91384</v>
      </c>
      <c r="I8" s="201"/>
    </row>
    <row r="9" spans="1:10">
      <c r="A9" s="74">
        <v>5142</v>
      </c>
      <c r="B9" s="24" t="s">
        <v>91</v>
      </c>
      <c r="D9" s="376">
        <v>300</v>
      </c>
      <c r="E9" s="376">
        <v>300</v>
      </c>
      <c r="F9" s="201">
        <v>300</v>
      </c>
      <c r="G9" s="201">
        <f>'Pers 175'!N20</f>
        <v>300</v>
      </c>
      <c r="H9" s="201">
        <v>300</v>
      </c>
      <c r="I9" s="201"/>
    </row>
    <row r="10" spans="1:10">
      <c r="A10" s="35" t="s">
        <v>8</v>
      </c>
      <c r="B10" s="24" t="s">
        <v>408</v>
      </c>
      <c r="D10" s="376">
        <v>5500</v>
      </c>
      <c r="E10" s="376">
        <v>6275</v>
      </c>
      <c r="F10" s="201">
        <v>5200</v>
      </c>
      <c r="G10" s="201">
        <f>'Pers 175'!N21</f>
        <v>5200</v>
      </c>
      <c r="H10" s="201">
        <v>5200</v>
      </c>
      <c r="I10" s="201"/>
    </row>
    <row r="11" spans="1:10">
      <c r="A11" s="35" t="s">
        <v>10</v>
      </c>
      <c r="B11" s="24" t="s">
        <v>52</v>
      </c>
      <c r="D11" s="387">
        <v>0</v>
      </c>
      <c r="E11" s="387">
        <v>0</v>
      </c>
      <c r="F11" s="296">
        <v>0</v>
      </c>
      <c r="G11" s="201">
        <f>'Pers 175'!N22</f>
        <v>482</v>
      </c>
      <c r="H11" s="201">
        <v>482</v>
      </c>
      <c r="I11" s="296"/>
    </row>
    <row r="12" spans="1:10">
      <c r="A12" s="35"/>
      <c r="D12" s="377">
        <f t="shared" ref="D12:I12" si="0">SUM(D7:D11)</f>
        <v>109767</v>
      </c>
      <c r="E12" s="377">
        <f t="shared" si="0"/>
        <v>120072</v>
      </c>
      <c r="F12" s="295">
        <f t="shared" si="0"/>
        <v>190304</v>
      </c>
      <c r="G12" s="295">
        <f>SUM(G7:G11)</f>
        <v>195219</v>
      </c>
      <c r="H12" s="295">
        <f t="shared" si="0"/>
        <v>195219</v>
      </c>
      <c r="I12" s="295">
        <f t="shared" si="0"/>
        <v>0</v>
      </c>
    </row>
    <row r="13" spans="1:10">
      <c r="A13" s="35"/>
      <c r="B13" s="30"/>
      <c r="D13" s="376"/>
      <c r="E13" s="376"/>
      <c r="F13" s="201"/>
      <c r="G13" s="201"/>
      <c r="H13" s="201"/>
      <c r="I13" s="201"/>
    </row>
    <row r="14" spans="1:10">
      <c r="A14" s="30" t="s">
        <v>44</v>
      </c>
      <c r="D14" s="376"/>
      <c r="E14" s="376"/>
      <c r="F14" s="201"/>
      <c r="G14" s="201"/>
      <c r="H14" s="201"/>
      <c r="I14" s="201"/>
    </row>
    <row r="15" spans="1:10">
      <c r="A15" s="35" t="s">
        <v>16</v>
      </c>
      <c r="B15" s="24" t="s">
        <v>56</v>
      </c>
      <c r="D15" s="376">
        <v>3866</v>
      </c>
      <c r="E15" s="376">
        <v>5109</v>
      </c>
      <c r="F15" s="201">
        <v>7500</v>
      </c>
      <c r="G15" s="201">
        <v>7500</v>
      </c>
      <c r="H15" s="71">
        <v>7500</v>
      </c>
      <c r="I15" s="201"/>
    </row>
    <row r="16" spans="1:10">
      <c r="A16" s="35" t="s">
        <v>18</v>
      </c>
      <c r="B16" s="24" t="s">
        <v>58</v>
      </c>
      <c r="D16" s="376">
        <v>3132</v>
      </c>
      <c r="E16" s="376">
        <v>2631</v>
      </c>
      <c r="F16" s="201">
        <v>3000</v>
      </c>
      <c r="G16" s="201">
        <v>3000</v>
      </c>
      <c r="H16" s="201">
        <v>3000</v>
      </c>
      <c r="I16" s="201"/>
    </row>
    <row r="17" spans="1:59">
      <c r="A17" s="35" t="s">
        <v>20</v>
      </c>
      <c r="B17" s="24" t="s">
        <v>59</v>
      </c>
      <c r="D17" s="376">
        <v>0</v>
      </c>
      <c r="E17" s="376">
        <v>0</v>
      </c>
      <c r="F17" s="201">
        <v>0</v>
      </c>
      <c r="G17" s="201">
        <v>0</v>
      </c>
      <c r="H17" s="201">
        <v>0</v>
      </c>
      <c r="I17" s="201"/>
    </row>
    <row r="18" spans="1:59">
      <c r="A18" s="35"/>
      <c r="D18" s="377">
        <f t="shared" ref="D18:I18" si="1">SUM(D15:D17)</f>
        <v>6998</v>
      </c>
      <c r="E18" s="377">
        <f t="shared" si="1"/>
        <v>7740</v>
      </c>
      <c r="F18" s="295">
        <f t="shared" si="1"/>
        <v>10500</v>
      </c>
      <c r="G18" s="295">
        <f t="shared" ref="G18" si="2">SUM(G15:G17)</f>
        <v>10500</v>
      </c>
      <c r="H18" s="295">
        <f t="shared" ref="H18" si="3">SUM(H15:H17)</f>
        <v>10500</v>
      </c>
      <c r="I18" s="295">
        <f t="shared" si="1"/>
        <v>0</v>
      </c>
    </row>
    <row r="19" spans="1:59">
      <c r="A19" s="35"/>
      <c r="D19" s="376"/>
      <c r="E19" s="376"/>
      <c r="F19" s="201"/>
      <c r="G19" s="201"/>
      <c r="H19" s="201"/>
      <c r="I19" s="201"/>
    </row>
    <row r="20" spans="1:59">
      <c r="A20" s="30" t="s">
        <v>43</v>
      </c>
      <c r="B20" s="24" t="s">
        <v>0</v>
      </c>
      <c r="D20" s="376" t="s">
        <v>0</v>
      </c>
      <c r="E20" s="376" t="s">
        <v>0</v>
      </c>
      <c r="F20" s="201" t="s">
        <v>0</v>
      </c>
      <c r="G20" s="201" t="s">
        <v>0</v>
      </c>
      <c r="H20" s="201" t="s">
        <v>0</v>
      </c>
      <c r="I20" s="201" t="s">
        <v>0</v>
      </c>
    </row>
    <row r="21" spans="1:59">
      <c r="A21" s="35" t="s">
        <v>21</v>
      </c>
      <c r="B21" s="24" t="s">
        <v>60</v>
      </c>
      <c r="D21" s="376">
        <v>563</v>
      </c>
      <c r="E21" s="376">
        <v>677</v>
      </c>
      <c r="F21" s="201">
        <f>1000+2000</f>
        <v>3000</v>
      </c>
      <c r="G21" s="201">
        <f>1000+2000</f>
        <v>3000</v>
      </c>
      <c r="H21" s="201">
        <v>3000</v>
      </c>
      <c r="I21" s="201"/>
    </row>
    <row r="22" spans="1:59">
      <c r="A22" s="35" t="s">
        <v>28</v>
      </c>
      <c r="B22" s="24" t="s">
        <v>67</v>
      </c>
      <c r="D22" s="376">
        <v>0</v>
      </c>
      <c r="E22" s="376">
        <v>0</v>
      </c>
      <c r="F22" s="201">
        <v>200</v>
      </c>
      <c r="G22" s="201">
        <v>200</v>
      </c>
      <c r="H22" s="201">
        <v>200</v>
      </c>
      <c r="I22" s="201"/>
    </row>
    <row r="23" spans="1:59">
      <c r="A23" s="35" t="s">
        <v>30</v>
      </c>
      <c r="B23" s="24" t="s">
        <v>69</v>
      </c>
      <c r="D23" s="376">
        <v>0</v>
      </c>
      <c r="E23" s="376">
        <v>0</v>
      </c>
      <c r="F23" s="201">
        <v>0</v>
      </c>
      <c r="G23" s="201">
        <v>0</v>
      </c>
      <c r="H23" s="201">
        <v>0</v>
      </c>
      <c r="I23" s="201"/>
    </row>
    <row r="24" spans="1:59">
      <c r="A24" s="35"/>
      <c r="D24" s="377">
        <f t="shared" ref="D24:I24" si="4">SUM(D21:D23)</f>
        <v>563</v>
      </c>
      <c r="E24" s="377">
        <f t="shared" si="4"/>
        <v>677</v>
      </c>
      <c r="F24" s="295">
        <f t="shared" si="4"/>
        <v>3200</v>
      </c>
      <c r="G24" s="295">
        <f t="shared" ref="G24" si="5">SUM(G21:G23)</f>
        <v>3200</v>
      </c>
      <c r="H24" s="295">
        <f t="shared" ref="H24" si="6">SUM(H21:H23)</f>
        <v>3200</v>
      </c>
      <c r="I24" s="295">
        <f t="shared" si="4"/>
        <v>0</v>
      </c>
    </row>
    <row r="25" spans="1:59">
      <c r="A25" s="35"/>
      <c r="D25" s="376"/>
      <c r="E25" s="376"/>
      <c r="F25" s="201"/>
      <c r="G25" s="201"/>
      <c r="H25" s="201"/>
      <c r="I25" s="201"/>
    </row>
    <row r="26" spans="1:59">
      <c r="A26" s="30" t="s">
        <v>39</v>
      </c>
      <c r="D26" s="376"/>
      <c r="E26" s="376"/>
      <c r="F26" s="201"/>
      <c r="G26" s="201"/>
      <c r="H26" s="201"/>
      <c r="I26" s="201"/>
    </row>
    <row r="27" spans="1:59">
      <c r="A27" s="35" t="s">
        <v>31</v>
      </c>
      <c r="B27" s="24" t="s">
        <v>553</v>
      </c>
      <c r="D27" s="376">
        <v>0</v>
      </c>
      <c r="E27" s="376">
        <v>0</v>
      </c>
      <c r="F27" s="201">
        <v>500</v>
      </c>
      <c r="G27" s="201">
        <v>500</v>
      </c>
      <c r="H27" s="201">
        <v>500</v>
      </c>
      <c r="I27" s="201"/>
    </row>
    <row r="28" spans="1:59">
      <c r="A28" s="35" t="s">
        <v>33</v>
      </c>
      <c r="B28" s="24" t="s">
        <v>71</v>
      </c>
      <c r="D28" s="376">
        <v>0</v>
      </c>
      <c r="E28" s="376">
        <v>0</v>
      </c>
      <c r="F28" s="201">
        <v>400</v>
      </c>
      <c r="G28" s="201">
        <v>400</v>
      </c>
      <c r="H28" s="201">
        <v>400</v>
      </c>
      <c r="I28" s="201"/>
    </row>
    <row r="29" spans="1:59">
      <c r="A29" s="35"/>
      <c r="D29" s="377">
        <f t="shared" ref="D29:I29" si="7">SUM(D27:D28)</f>
        <v>0</v>
      </c>
      <c r="E29" s="377">
        <f t="shared" si="7"/>
        <v>0</v>
      </c>
      <c r="F29" s="295">
        <f t="shared" si="7"/>
        <v>900</v>
      </c>
      <c r="G29" s="295">
        <f t="shared" ref="G29" si="8">SUM(G27:G28)</f>
        <v>900</v>
      </c>
      <c r="H29" s="295">
        <f t="shared" ref="H29" si="9">SUM(H27:H28)</f>
        <v>900</v>
      </c>
      <c r="I29" s="295">
        <f t="shared" si="7"/>
        <v>0</v>
      </c>
    </row>
    <row r="30" spans="1:59">
      <c r="A30" s="35"/>
      <c r="D30" s="68"/>
      <c r="E30" s="68"/>
      <c r="F30" s="67"/>
      <c r="G30" s="67"/>
      <c r="H30" s="67"/>
      <c r="I30" s="67"/>
    </row>
    <row r="31" spans="1:59">
      <c r="D31" s="68"/>
      <c r="E31" s="68"/>
      <c r="F31" s="67"/>
      <c r="G31" s="67"/>
      <c r="H31" s="67"/>
      <c r="I31" s="67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</row>
    <row r="32" spans="1:59">
      <c r="A32" s="30" t="s">
        <v>40</v>
      </c>
      <c r="D32" s="210">
        <f t="shared" ref="D32:I32" si="10">+D29+D24+D18+D12</f>
        <v>117328</v>
      </c>
      <c r="E32" s="210">
        <f>+E29+E24+E18+E12</f>
        <v>128489</v>
      </c>
      <c r="F32" s="210">
        <f t="shared" si="10"/>
        <v>204904</v>
      </c>
      <c r="G32" s="202">
        <f t="shared" si="10"/>
        <v>209819</v>
      </c>
      <c r="H32" s="202">
        <f>+H29+H24+H18+H12</f>
        <v>209819</v>
      </c>
      <c r="I32" s="202">
        <f t="shared" si="10"/>
        <v>0</v>
      </c>
      <c r="AT32" s="62"/>
      <c r="AU32" s="62"/>
      <c r="AV32" s="62"/>
      <c r="AW32" s="62"/>
    </row>
    <row r="33" spans="1:49">
      <c r="A33" s="30"/>
      <c r="D33" s="210"/>
      <c r="E33" s="210"/>
      <c r="F33" s="202"/>
      <c r="G33" s="202"/>
      <c r="H33" s="202"/>
      <c r="I33" s="202"/>
      <c r="AT33" s="62"/>
      <c r="AU33" s="62"/>
      <c r="AV33" s="62"/>
      <c r="AW33" s="62"/>
    </row>
    <row r="34" spans="1:49">
      <c r="A34" s="30"/>
      <c r="B34" s="30"/>
      <c r="D34" s="372"/>
      <c r="E34" s="375"/>
      <c r="F34" s="185"/>
      <c r="G34" s="202"/>
      <c r="H34"/>
      <c r="I34" s="38"/>
    </row>
    <row r="35" spans="1:49" customFormat="1">
      <c r="D35" s="91"/>
      <c r="E35" s="91"/>
    </row>
    <row r="36" spans="1:49" customFormat="1">
      <c r="D36" s="91"/>
      <c r="E36" s="91"/>
    </row>
    <row r="37" spans="1:49" customFormat="1">
      <c r="D37" s="91"/>
      <c r="E37" s="91"/>
    </row>
    <row r="38" spans="1:49" customFormat="1">
      <c r="D38" s="91"/>
      <c r="E38" s="91"/>
    </row>
    <row r="39" spans="1:49" customFormat="1">
      <c r="D39" s="91"/>
      <c r="E39" s="91"/>
    </row>
    <row r="40" spans="1:49" customFormat="1">
      <c r="D40" s="91"/>
      <c r="E40" s="91"/>
    </row>
    <row r="41" spans="1:49" customFormat="1">
      <c r="D41" s="91"/>
      <c r="E41" s="91"/>
    </row>
  </sheetData>
  <printOptions horizontalCentered="1"/>
  <pageMargins left="0.45" right="0.35" top="0.75" bottom="1" header="0.3" footer="0.3"/>
  <pageSetup scale="98" orientation="landscape" r:id="rId1"/>
  <headerFooter>
    <oddFooter>&amp;L&amp;D FY25 Budget&amp;CPage 18</oddFooter>
  </headerFooter>
  <ignoredErrors>
    <ignoredError sqref="A7 A8 A14:A28 A11 A10" numberStoredAsText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C9" sqref="C9:C14"/>
    </sheetView>
  </sheetViews>
  <sheetFormatPr defaultColWidth="9" defaultRowHeight="15"/>
  <cols>
    <col min="1" max="1" width="11.42578125" style="24" customWidth="1"/>
    <col min="2" max="2" width="10.42578125" style="24" customWidth="1"/>
    <col min="3" max="5" width="6.5703125" style="24" customWidth="1"/>
    <col min="6" max="6" width="11.5703125" style="24" customWidth="1"/>
    <col min="7" max="7" width="11.5703125" style="24" hidden="1" customWidth="1"/>
    <col min="8" max="10" width="11.5703125" style="24" customWidth="1"/>
    <col min="11" max="13" width="9" style="24"/>
    <col min="14" max="14" width="12.5703125" style="24" customWidth="1"/>
    <col min="15" max="15" width="12.5703125" style="24" hidden="1" customWidth="1"/>
    <col min="16" max="18" width="12.5703125" style="24" customWidth="1"/>
    <col min="19" max="16384" width="9" style="24"/>
  </cols>
  <sheetData>
    <row r="1" spans="1:19" s="2" customFormat="1">
      <c r="A1" s="360" t="str">
        <f>+Summary!A1</f>
        <v>Fiscal Year 2025 Budget Worksheet</v>
      </c>
      <c r="B1" s="363"/>
      <c r="C1" s="363"/>
      <c r="D1" s="363"/>
      <c r="E1" s="363"/>
      <c r="F1" s="363"/>
      <c r="G1" s="363"/>
      <c r="H1" s="363"/>
      <c r="I1" s="363"/>
      <c r="J1" s="363"/>
      <c r="K1" s="361"/>
      <c r="L1" s="361"/>
      <c r="M1" s="361"/>
      <c r="N1" s="361"/>
      <c r="O1" s="361"/>
      <c r="P1" s="361"/>
      <c r="Q1" s="361"/>
      <c r="R1" s="361"/>
    </row>
    <row r="2" spans="1:19">
      <c r="A2" s="30" t="s">
        <v>463</v>
      </c>
      <c r="B2" s="41"/>
      <c r="K2" s="334"/>
    </row>
    <row r="3" spans="1:19">
      <c r="B3" s="42"/>
      <c r="K3" s="53"/>
    </row>
    <row r="4" spans="1:19">
      <c r="B4" s="42"/>
      <c r="K4" s="53"/>
    </row>
    <row r="5" spans="1:19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9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9">
      <c r="K7" s="53"/>
    </row>
    <row r="8" spans="1:19">
      <c r="A8" s="24" t="s">
        <v>45</v>
      </c>
      <c r="K8" s="53"/>
    </row>
    <row r="9" spans="1:19">
      <c r="A9" s="24" t="s">
        <v>611</v>
      </c>
      <c r="B9" s="189">
        <v>42660</v>
      </c>
      <c r="C9" s="42"/>
      <c r="D9" s="42"/>
      <c r="E9" s="42"/>
      <c r="F9" s="73">
        <v>94547.82</v>
      </c>
      <c r="G9" s="73">
        <v>3636.45</v>
      </c>
      <c r="H9" s="73"/>
      <c r="I9" s="73">
        <v>300</v>
      </c>
      <c r="J9" s="73">
        <v>0</v>
      </c>
      <c r="K9" s="44"/>
      <c r="L9" s="42"/>
      <c r="M9" s="42"/>
      <c r="N9" s="73">
        <f>+O9*26.125</f>
        <v>97852.323937499998</v>
      </c>
      <c r="O9" s="73">
        <f>+G9*1.03</f>
        <v>3745.5434999999998</v>
      </c>
      <c r="P9" s="73"/>
      <c r="Q9" s="73">
        <v>300</v>
      </c>
      <c r="R9" s="73">
        <v>0</v>
      </c>
    </row>
    <row r="10" spans="1:19">
      <c r="B10" s="189"/>
      <c r="C10" s="42"/>
      <c r="F10" s="73"/>
      <c r="G10" s="73"/>
      <c r="H10" s="73"/>
      <c r="I10" s="73"/>
      <c r="J10" s="73"/>
      <c r="K10" s="44"/>
      <c r="N10" s="73"/>
      <c r="O10" s="73"/>
      <c r="P10" s="73"/>
      <c r="Q10" s="73"/>
      <c r="R10" s="73"/>
    </row>
    <row r="11" spans="1:19">
      <c r="A11" s="24" t="s">
        <v>94</v>
      </c>
      <c r="B11" s="189"/>
      <c r="C11" s="42"/>
      <c r="F11" s="73"/>
      <c r="G11" s="73"/>
      <c r="H11" s="73"/>
      <c r="I11" s="73"/>
      <c r="J11" s="73"/>
      <c r="K11" s="44"/>
      <c r="N11" s="73"/>
      <c r="O11" s="73"/>
      <c r="P11" s="73"/>
      <c r="Q11" s="73"/>
      <c r="R11" s="73"/>
    </row>
    <row r="12" spans="1:19" hidden="1">
      <c r="A12" s="27" t="e">
        <f>CONCATENATE(#REF!,", ",#REF!)</f>
        <v>#REF!</v>
      </c>
      <c r="B12" s="195"/>
      <c r="C12" s="42"/>
      <c r="F12" s="73"/>
      <c r="G12" s="73"/>
      <c r="H12" s="73"/>
      <c r="I12" s="73"/>
      <c r="J12" s="73"/>
      <c r="K12" s="44"/>
      <c r="N12" s="73"/>
      <c r="O12" s="73"/>
      <c r="P12" s="73"/>
      <c r="Q12" s="73"/>
      <c r="R12" s="73"/>
    </row>
    <row r="13" spans="1:19">
      <c r="A13" s="24" t="s">
        <v>692</v>
      </c>
      <c r="B13" s="194">
        <v>45103</v>
      </c>
      <c r="C13" s="42"/>
      <c r="F13" s="73">
        <v>66950</v>
      </c>
      <c r="G13" s="73">
        <v>2575</v>
      </c>
      <c r="H13" s="73"/>
      <c r="I13" s="73">
        <v>0</v>
      </c>
      <c r="J13" s="73">
        <v>0</v>
      </c>
      <c r="K13" s="44"/>
      <c r="N13" s="73">
        <f>+O13*26.125</f>
        <v>67271.875</v>
      </c>
      <c r="O13" s="73">
        <f>2500*1.03</f>
        <v>2575</v>
      </c>
      <c r="P13" s="73"/>
      <c r="Q13" s="73">
        <v>0</v>
      </c>
      <c r="R13" s="73">
        <v>0</v>
      </c>
    </row>
    <row r="14" spans="1:19">
      <c r="A14" s="24" t="s">
        <v>610</v>
      </c>
      <c r="B14" s="189">
        <v>44446</v>
      </c>
      <c r="C14" s="42"/>
      <c r="D14" s="42" t="s">
        <v>100</v>
      </c>
      <c r="E14" s="42">
        <v>3</v>
      </c>
      <c r="F14" s="73">
        <v>23305.1</v>
      </c>
      <c r="G14" s="73">
        <v>896.35</v>
      </c>
      <c r="H14" s="73">
        <v>25.61</v>
      </c>
      <c r="I14" s="73">
        <v>0</v>
      </c>
      <c r="J14" s="73">
        <v>0</v>
      </c>
      <c r="K14" s="44"/>
      <c r="L14" s="42" t="s">
        <v>100</v>
      </c>
      <c r="M14" s="42">
        <v>4</v>
      </c>
      <c r="N14" s="73">
        <f>+O14*26.125</f>
        <v>24112.068750000002</v>
      </c>
      <c r="O14" s="73">
        <v>922.95</v>
      </c>
      <c r="P14" s="73">
        <v>26.37</v>
      </c>
      <c r="Q14" s="73">
        <v>0</v>
      </c>
      <c r="R14" s="73">
        <v>0</v>
      </c>
      <c r="S14" s="73"/>
    </row>
    <row r="15" spans="1:19">
      <c r="A15" s="24" t="s">
        <v>635</v>
      </c>
      <c r="B15" s="189"/>
      <c r="C15" s="42"/>
      <c r="F15" s="73">
        <v>5200</v>
      </c>
      <c r="G15" s="73"/>
      <c r="H15" s="73"/>
      <c r="I15" s="73"/>
      <c r="J15" s="73"/>
      <c r="K15" s="44"/>
      <c r="N15" s="73">
        <v>5200</v>
      </c>
      <c r="O15" s="73"/>
      <c r="P15" s="73"/>
      <c r="Q15" s="73"/>
      <c r="R15" s="73"/>
    </row>
    <row r="16" spans="1:19">
      <c r="B16" s="189"/>
      <c r="C16" s="42"/>
      <c r="F16" s="73"/>
      <c r="G16" s="73"/>
      <c r="H16" s="73"/>
      <c r="I16" s="73"/>
      <c r="J16" s="73"/>
      <c r="K16" s="44"/>
      <c r="N16" s="73"/>
      <c r="O16" s="73"/>
      <c r="P16" s="73"/>
      <c r="Q16" s="73"/>
      <c r="R16" s="73"/>
    </row>
    <row r="17" spans="1:18">
      <c r="A17" s="40" t="s">
        <v>96</v>
      </c>
      <c r="B17" s="42"/>
      <c r="K17" s="53"/>
    </row>
    <row r="18" spans="1:18">
      <c r="A18" s="24" t="s">
        <v>45</v>
      </c>
      <c r="B18" s="42"/>
      <c r="F18" s="36">
        <f>ROUNDUP(F9,0)</f>
        <v>94548</v>
      </c>
      <c r="K18" s="53"/>
      <c r="N18" s="36">
        <f>ROUNDUP(N9,0)</f>
        <v>97853</v>
      </c>
    </row>
    <row r="19" spans="1:18">
      <c r="A19" s="24" t="s">
        <v>46</v>
      </c>
      <c r="B19" s="42"/>
      <c r="F19" s="36">
        <f>ROUNDUP(+F13+F14,0)</f>
        <v>90256</v>
      </c>
      <c r="K19" s="53"/>
      <c r="N19" s="36">
        <f>ROUNDUP(N14+N13,0)</f>
        <v>91384</v>
      </c>
    </row>
    <row r="20" spans="1:18">
      <c r="A20" s="24" t="s">
        <v>91</v>
      </c>
      <c r="B20" s="42"/>
      <c r="F20" s="54">
        <v>300</v>
      </c>
      <c r="K20" s="53"/>
      <c r="N20" s="54">
        <f>+Q14+Q9</f>
        <v>300</v>
      </c>
    </row>
    <row r="21" spans="1:18">
      <c r="A21" s="24" t="s">
        <v>408</v>
      </c>
      <c r="B21" s="42"/>
      <c r="F21" s="36">
        <v>5200</v>
      </c>
      <c r="K21" s="53"/>
      <c r="N21" s="36">
        <v>5200</v>
      </c>
    </row>
    <row r="22" spans="1:18">
      <c r="A22" s="24" t="s">
        <v>52</v>
      </c>
      <c r="B22" s="42"/>
      <c r="F22" s="36">
        <v>0</v>
      </c>
      <c r="K22" s="53"/>
      <c r="N22" s="63">
        <f>ROUND(+N14*0.02,0)</f>
        <v>482</v>
      </c>
    </row>
    <row r="23" spans="1:18">
      <c r="B23" s="42"/>
      <c r="F23" s="54"/>
      <c r="K23" s="53"/>
      <c r="N23" s="54"/>
    </row>
    <row r="24" spans="1:18">
      <c r="A24" s="42" t="s">
        <v>337</v>
      </c>
      <c r="B24" s="42"/>
      <c r="F24" s="186">
        <f>SUM(F18:F22)</f>
        <v>190304</v>
      </c>
      <c r="K24" s="53"/>
      <c r="N24" s="186">
        <f>SUM(N18:N22)</f>
        <v>195219</v>
      </c>
    </row>
    <row r="27" spans="1:18">
      <c r="B27" s="42"/>
      <c r="F27" s="60" t="s">
        <v>626</v>
      </c>
      <c r="N27" s="60" t="s">
        <v>666</v>
      </c>
    </row>
    <row r="28" spans="1:18">
      <c r="B28" s="42"/>
      <c r="F28" s="60" t="s">
        <v>625</v>
      </c>
      <c r="N28" s="60" t="s">
        <v>664</v>
      </c>
    </row>
    <row r="29" spans="1:18">
      <c r="B29" s="42"/>
      <c r="F29" s="313" t="s">
        <v>97</v>
      </c>
      <c r="G29" s="62"/>
      <c r="H29" s="62"/>
      <c r="I29" s="62"/>
      <c r="K29" s="62"/>
      <c r="L29" s="62"/>
      <c r="M29" s="62"/>
      <c r="N29" s="313" t="s">
        <v>97</v>
      </c>
    </row>
    <row r="30" spans="1:18">
      <c r="B30" s="42"/>
    </row>
    <row r="31" spans="1:18">
      <c r="B31" s="42"/>
      <c r="F31" s="62"/>
      <c r="G31" s="62"/>
      <c r="H31" s="62"/>
      <c r="I31" s="62"/>
      <c r="J31" s="62"/>
      <c r="N31" s="62"/>
      <c r="O31" s="62"/>
      <c r="P31" s="62"/>
      <c r="Q31" s="62"/>
      <c r="R31" s="62"/>
    </row>
    <row r="32" spans="1:18">
      <c r="B32" s="42"/>
    </row>
    <row r="33" spans="2:2">
      <c r="B33" s="42"/>
    </row>
  </sheetData>
  <printOptions horizontalCentered="1" gridLines="1"/>
  <pageMargins left="0.45" right="0.35" top="0.75" bottom="1" header="0.3" footer="0.3"/>
  <pageSetup scale="67" orientation="landscape" r:id="rId1"/>
  <headerFooter>
    <oddFooter>&amp;L&amp;D FY25 Budget&amp;CPage 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8"/>
  <sheetViews>
    <sheetView topLeftCell="A30" zoomScalePageLayoutView="90" workbookViewId="0">
      <selection activeCell="H48" sqref="H48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11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1">
      <c r="A2" s="30" t="s">
        <v>491</v>
      </c>
    </row>
    <row r="3" spans="1:11">
      <c r="A3" s="30" t="s">
        <v>674</v>
      </c>
    </row>
    <row r="4" spans="1:11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1">
      <c r="A6" s="34" t="s">
        <v>38</v>
      </c>
    </row>
    <row r="7" spans="1:11">
      <c r="A7" s="35" t="s">
        <v>2</v>
      </c>
      <c r="B7" s="24" t="s">
        <v>46</v>
      </c>
      <c r="D7" s="376">
        <v>19534</v>
      </c>
      <c r="E7" s="376">
        <v>19601</v>
      </c>
      <c r="F7" s="201">
        <v>20484</v>
      </c>
      <c r="G7" s="201">
        <v>20484</v>
      </c>
      <c r="H7" s="201">
        <v>20484</v>
      </c>
      <c r="I7" s="201"/>
      <c r="K7" s="40"/>
    </row>
    <row r="8" spans="1:11">
      <c r="A8" s="35" t="s">
        <v>2</v>
      </c>
      <c r="B8" s="24" t="s">
        <v>742</v>
      </c>
      <c r="D8" s="376"/>
      <c r="E8" s="376"/>
      <c r="F8" s="201"/>
      <c r="G8" s="376">
        <f>112432/2+5000</f>
        <v>61216</v>
      </c>
      <c r="H8" s="201">
        <v>61216</v>
      </c>
      <c r="I8" s="201"/>
      <c r="K8" s="426"/>
    </row>
    <row r="9" spans="1:11">
      <c r="A9" s="74">
        <v>5130</v>
      </c>
      <c r="B9" s="24" t="s">
        <v>48</v>
      </c>
      <c r="D9" s="387">
        <v>0</v>
      </c>
      <c r="E9" s="387">
        <v>0</v>
      </c>
      <c r="F9" s="296">
        <v>0</v>
      </c>
      <c r="G9" s="387">
        <v>0</v>
      </c>
      <c r="H9" s="296">
        <v>0</v>
      </c>
      <c r="I9" s="296"/>
    </row>
    <row r="10" spans="1:11">
      <c r="A10" s="35"/>
      <c r="D10" s="377">
        <f t="shared" ref="D10:I10" si="0">SUM(D7:D9)</f>
        <v>19534</v>
      </c>
      <c r="E10" s="377">
        <f t="shared" si="0"/>
        <v>19601</v>
      </c>
      <c r="F10" s="295">
        <f t="shared" si="0"/>
        <v>20484</v>
      </c>
      <c r="G10" s="377">
        <f t="shared" si="0"/>
        <v>81700</v>
      </c>
      <c r="H10" s="295">
        <f>SUM(H7:H9)</f>
        <v>81700</v>
      </c>
      <c r="I10" s="295">
        <f t="shared" si="0"/>
        <v>0</v>
      </c>
    </row>
    <row r="11" spans="1:11">
      <c r="A11" s="30" t="s">
        <v>44</v>
      </c>
      <c r="D11" s="376"/>
      <c r="E11" s="376"/>
      <c r="F11" s="201"/>
      <c r="G11" s="376"/>
      <c r="H11" s="201"/>
      <c r="I11" s="201"/>
    </row>
    <row r="12" spans="1:11">
      <c r="A12" s="35" t="s">
        <v>11</v>
      </c>
      <c r="B12" s="24" t="s">
        <v>526</v>
      </c>
      <c r="D12" s="376">
        <v>51053</v>
      </c>
      <c r="E12" s="376">
        <v>55938</v>
      </c>
      <c r="F12" s="201">
        <v>60000</v>
      </c>
      <c r="G12" s="376">
        <f>60000-4000-3000</f>
        <v>53000</v>
      </c>
      <c r="H12" s="201">
        <v>53000</v>
      </c>
      <c r="I12" s="201"/>
      <c r="K12" s="36"/>
    </row>
    <row r="13" spans="1:11">
      <c r="A13" s="35" t="s">
        <v>11</v>
      </c>
      <c r="B13" s="24" t="s">
        <v>728</v>
      </c>
      <c r="D13" s="376">
        <v>0</v>
      </c>
      <c r="E13" s="376">
        <v>0</v>
      </c>
      <c r="F13" s="201">
        <v>0</v>
      </c>
      <c r="G13" s="376">
        <v>49177</v>
      </c>
      <c r="H13" s="201">
        <v>49177</v>
      </c>
      <c r="I13" s="201"/>
      <c r="K13" s="36"/>
    </row>
    <row r="14" spans="1:11">
      <c r="A14" s="74">
        <v>5212</v>
      </c>
      <c r="B14" s="24" t="s">
        <v>525</v>
      </c>
      <c r="D14" s="376">
        <v>48012</v>
      </c>
      <c r="E14" s="376">
        <v>50217</v>
      </c>
      <c r="F14" s="201">
        <v>55000</v>
      </c>
      <c r="G14" s="376">
        <v>42000</v>
      </c>
      <c r="H14" s="201">
        <v>42000</v>
      </c>
      <c r="I14" s="201"/>
      <c r="K14" s="36"/>
    </row>
    <row r="15" spans="1:11">
      <c r="A15" s="74">
        <v>5212</v>
      </c>
      <c r="B15" s="24" t="s">
        <v>729</v>
      </c>
      <c r="D15" s="376">
        <v>0</v>
      </c>
      <c r="E15" s="376">
        <v>0</v>
      </c>
      <c r="F15" s="201">
        <v>0</v>
      </c>
      <c r="G15" s="376">
        <v>42821</v>
      </c>
      <c r="H15" s="201">
        <v>42821</v>
      </c>
      <c r="I15" s="201"/>
      <c r="K15" s="36"/>
    </row>
    <row r="16" spans="1:11">
      <c r="A16" s="35" t="s">
        <v>12</v>
      </c>
      <c r="B16" s="24" t="s">
        <v>527</v>
      </c>
      <c r="D16" s="376">
        <v>16858</v>
      </c>
      <c r="E16" s="376">
        <v>13817</v>
      </c>
      <c r="F16" s="201">
        <v>12500</v>
      </c>
      <c r="G16" s="376">
        <v>12500</v>
      </c>
      <c r="H16" s="201">
        <v>12500</v>
      </c>
      <c r="I16" s="201"/>
      <c r="K16" s="36"/>
    </row>
    <row r="17" spans="1:11">
      <c r="A17" s="35" t="s">
        <v>12</v>
      </c>
      <c r="B17" s="24" t="s">
        <v>730</v>
      </c>
      <c r="D17" s="376">
        <v>0</v>
      </c>
      <c r="E17" s="376">
        <v>0</v>
      </c>
      <c r="F17" s="201">
        <v>0</v>
      </c>
      <c r="G17" s="376">
        <v>8978</v>
      </c>
      <c r="H17" s="201">
        <v>8978</v>
      </c>
      <c r="I17" s="201"/>
      <c r="K17" s="36"/>
    </row>
    <row r="18" spans="1:11">
      <c r="A18" s="35" t="s">
        <v>13</v>
      </c>
      <c r="B18" s="24" t="s">
        <v>731</v>
      </c>
      <c r="D18" s="376">
        <v>44338</v>
      </c>
      <c r="E18" s="376">
        <v>89875</v>
      </c>
      <c r="F18" s="201">
        <v>40000</v>
      </c>
      <c r="G18" s="376">
        <v>20000</v>
      </c>
      <c r="H18" s="201">
        <v>20000</v>
      </c>
      <c r="I18" s="201"/>
    </row>
    <row r="19" spans="1:11">
      <c r="A19" s="35" t="s">
        <v>13</v>
      </c>
      <c r="B19" s="24" t="s">
        <v>732</v>
      </c>
      <c r="D19" s="376"/>
      <c r="E19" s="376"/>
      <c r="F19" s="201"/>
      <c r="G19" s="376">
        <v>55010</v>
      </c>
      <c r="H19" s="201">
        <v>55009.68</v>
      </c>
      <c r="I19" s="201"/>
      <c r="K19" s="36"/>
    </row>
    <row r="20" spans="1:11">
      <c r="A20" s="35" t="s">
        <v>14</v>
      </c>
      <c r="B20" s="24" t="s">
        <v>54</v>
      </c>
      <c r="D20" s="376">
        <v>12382</v>
      </c>
      <c r="E20" s="376">
        <v>13178</v>
      </c>
      <c r="F20" s="201">
        <v>11000</v>
      </c>
      <c r="G20" s="376">
        <v>12000</v>
      </c>
      <c r="H20" s="201">
        <v>12000</v>
      </c>
      <c r="I20" s="201"/>
    </row>
    <row r="21" spans="1:11">
      <c r="A21" s="35" t="s">
        <v>15</v>
      </c>
      <c r="B21" s="24" t="s">
        <v>55</v>
      </c>
      <c r="D21" s="376">
        <v>8844</v>
      </c>
      <c r="E21" s="376">
        <v>8778</v>
      </c>
      <c r="F21" s="201">
        <v>6000</v>
      </c>
      <c r="G21" s="376">
        <v>12000</v>
      </c>
      <c r="H21" s="201">
        <v>12000</v>
      </c>
      <c r="I21" s="201"/>
    </row>
    <row r="22" spans="1:11">
      <c r="A22" s="35" t="s">
        <v>16</v>
      </c>
      <c r="B22" s="24" t="s">
        <v>470</v>
      </c>
      <c r="D22" s="376">
        <v>32042</v>
      </c>
      <c r="E22" s="376">
        <v>41132</v>
      </c>
      <c r="F22" s="201">
        <v>30000</v>
      </c>
      <c r="G22" s="376">
        <v>30000</v>
      </c>
      <c r="H22" s="201">
        <v>30000</v>
      </c>
      <c r="I22" s="201"/>
    </row>
    <row r="23" spans="1:11">
      <c r="A23" s="35"/>
      <c r="D23" s="377">
        <f t="shared" ref="D23:I23" si="1">SUM(D12:D22)</f>
        <v>213529</v>
      </c>
      <c r="E23" s="377">
        <f t="shared" si="1"/>
        <v>272935</v>
      </c>
      <c r="F23" s="295">
        <f t="shared" si="1"/>
        <v>214500</v>
      </c>
      <c r="G23" s="377">
        <f>SUM(G12:G22)</f>
        <v>337486</v>
      </c>
      <c r="H23" s="295">
        <f t="shared" ref="H23" si="2">SUM(H12:H22)</f>
        <v>337485.68</v>
      </c>
      <c r="I23" s="295">
        <f t="shared" si="1"/>
        <v>0</v>
      </c>
    </row>
    <row r="24" spans="1:11">
      <c r="A24" s="30" t="s">
        <v>43</v>
      </c>
      <c r="D24" s="376"/>
      <c r="E24" s="376"/>
      <c r="F24" s="201"/>
      <c r="G24" s="376"/>
      <c r="H24" s="201"/>
      <c r="I24" s="201"/>
    </row>
    <row r="25" spans="1:11">
      <c r="A25" s="35" t="s">
        <v>21</v>
      </c>
      <c r="B25" s="24" t="s">
        <v>60</v>
      </c>
      <c r="D25" s="376">
        <v>5453</v>
      </c>
      <c r="E25" s="376">
        <v>2341</v>
      </c>
      <c r="F25" s="201">
        <v>2000</v>
      </c>
      <c r="G25" s="376">
        <v>2000</v>
      </c>
      <c r="H25" s="201">
        <v>2000</v>
      </c>
      <c r="I25" s="201"/>
    </row>
    <row r="26" spans="1:11">
      <c r="A26" s="35" t="s">
        <v>22</v>
      </c>
      <c r="B26" s="24" t="s">
        <v>733</v>
      </c>
      <c r="D26" s="376">
        <v>2736</v>
      </c>
      <c r="E26" s="376">
        <v>4885</v>
      </c>
      <c r="F26" s="201">
        <v>5000</v>
      </c>
      <c r="G26" s="376">
        <v>5000</v>
      </c>
      <c r="H26" s="201">
        <v>5000</v>
      </c>
      <c r="I26" s="201"/>
    </row>
    <row r="27" spans="1:11">
      <c r="A27" s="35" t="s">
        <v>23</v>
      </c>
      <c r="B27" s="24" t="s">
        <v>62</v>
      </c>
      <c r="D27" s="376">
        <v>4049</v>
      </c>
      <c r="E27" s="376">
        <v>5745</v>
      </c>
      <c r="F27" s="201">
        <v>6000</v>
      </c>
      <c r="G27" s="376">
        <v>6000</v>
      </c>
      <c r="H27" s="201">
        <v>6000</v>
      </c>
      <c r="I27" s="201"/>
    </row>
    <row r="28" spans="1:11">
      <c r="A28" s="35" t="s">
        <v>23</v>
      </c>
      <c r="B28" s="24" t="s">
        <v>734</v>
      </c>
      <c r="D28" s="376">
        <v>0</v>
      </c>
      <c r="E28" s="376">
        <v>0</v>
      </c>
      <c r="F28" s="201">
        <v>0</v>
      </c>
      <c r="G28" s="376">
        <v>12463</v>
      </c>
      <c r="H28" s="201">
        <v>12463</v>
      </c>
      <c r="I28" s="201"/>
      <c r="K28" s="36"/>
    </row>
    <row r="29" spans="1:11">
      <c r="A29" s="35" t="s">
        <v>30</v>
      </c>
      <c r="B29" s="24" t="s">
        <v>69</v>
      </c>
      <c r="D29" s="376">
        <v>0</v>
      </c>
      <c r="E29" s="376">
        <v>0</v>
      </c>
      <c r="F29" s="201">
        <v>0</v>
      </c>
      <c r="G29" s="201">
        <v>0</v>
      </c>
      <c r="H29" s="201">
        <v>0</v>
      </c>
      <c r="I29" s="201"/>
    </row>
    <row r="30" spans="1:11">
      <c r="A30" s="35"/>
      <c r="D30" s="377">
        <f t="shared" ref="D30:I30" si="3">SUM(D25:D29)</f>
        <v>12238</v>
      </c>
      <c r="E30" s="377">
        <f t="shared" si="3"/>
        <v>12971</v>
      </c>
      <c r="F30" s="295">
        <f t="shared" si="3"/>
        <v>13000</v>
      </c>
      <c r="G30" s="295">
        <f>SUM(G25:G29)</f>
        <v>25463</v>
      </c>
      <c r="H30" s="295">
        <f>SUM(H25:H29)</f>
        <v>25463</v>
      </c>
      <c r="I30" s="295">
        <f t="shared" si="3"/>
        <v>0</v>
      </c>
    </row>
    <row r="31" spans="1:11">
      <c r="A31" s="35"/>
      <c r="D31" s="250"/>
      <c r="E31" s="250"/>
      <c r="F31" s="29"/>
      <c r="G31" s="29"/>
      <c r="H31" s="29"/>
      <c r="I31" s="29"/>
    </row>
    <row r="32" spans="1:11">
      <c r="D32" s="68"/>
      <c r="E32" s="68"/>
      <c r="F32" s="67"/>
      <c r="G32" s="67"/>
      <c r="H32" s="67"/>
      <c r="I32" s="67"/>
    </row>
    <row r="33" spans="1:59">
      <c r="A33" s="30" t="s">
        <v>40</v>
      </c>
      <c r="D33" s="210">
        <f t="shared" ref="D33:I33" si="4">+D30+D23+D10</f>
        <v>245301</v>
      </c>
      <c r="E33" s="210">
        <f t="shared" si="4"/>
        <v>305507</v>
      </c>
      <c r="F33" s="210">
        <f t="shared" si="4"/>
        <v>247984</v>
      </c>
      <c r="G33" s="210">
        <f>+G30+G23+G10</f>
        <v>444649</v>
      </c>
      <c r="H33" s="202">
        <f t="shared" si="4"/>
        <v>444648.68</v>
      </c>
      <c r="I33" s="202">
        <f t="shared" si="4"/>
        <v>0</v>
      </c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</row>
    <row r="34" spans="1:59" customFormat="1">
      <c r="D34" s="91"/>
      <c r="E34" s="91"/>
      <c r="F34" s="91"/>
      <c r="AT34" s="91"/>
      <c r="AU34" s="91"/>
      <c r="AV34" s="91"/>
      <c r="AW34" s="91"/>
    </row>
    <row r="35" spans="1:59" customFormat="1" ht="16.5" customHeight="1">
      <c r="D35" s="372"/>
      <c r="E35" s="375"/>
      <c r="F35" s="461" t="s">
        <v>753</v>
      </c>
      <c r="G35" s="201">
        <f>+G7+G12+G14+G16+G18+G20+G21+G22+G25+G26+G27</f>
        <v>214984</v>
      </c>
    </row>
    <row r="36" spans="1:59" customFormat="1">
      <c r="D36" s="91"/>
      <c r="E36" s="91"/>
      <c r="F36" s="462" t="s">
        <v>754</v>
      </c>
      <c r="G36" s="439">
        <f>+G8+G13+G15+G17+G19+G28</f>
        <v>229665</v>
      </c>
    </row>
    <row r="37" spans="1:59" customFormat="1">
      <c r="D37" s="91"/>
      <c r="E37" s="91"/>
    </row>
    <row r="38" spans="1:59" customFormat="1">
      <c r="D38" s="91"/>
      <c r="E38" s="91"/>
      <c r="F38" s="436" t="s">
        <v>755</v>
      </c>
      <c r="G38" s="214">
        <f>+G36+G35</f>
        <v>444649</v>
      </c>
    </row>
  </sheetData>
  <phoneticPr fontId="0" type="noConversion"/>
  <printOptions horizontalCentered="1"/>
  <pageMargins left="0.45" right="0.35" top="0.75" bottom="1" header="0.3" footer="0.3"/>
  <pageSetup scale="83" orientation="landscape" r:id="rId1"/>
  <headerFooter>
    <oddFooter>&amp;L&amp;D FY25 Budget&amp;CPage 20</oddFooter>
  </headerFooter>
  <ignoredErrors>
    <ignoredError sqref="A39:A1048576 A29:A33 A10:A12 A16 A18 A20:A23 A27 A5:A7 A25:A2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85" workbookViewId="0">
      <selection activeCell="C9" sqref="C9:C10"/>
    </sheetView>
  </sheetViews>
  <sheetFormatPr defaultColWidth="9" defaultRowHeight="15"/>
  <cols>
    <col min="1" max="1" width="12.28515625" style="24" customWidth="1"/>
    <col min="2" max="2" width="10" style="24" customWidth="1"/>
    <col min="3" max="3" width="5.5703125" style="24" customWidth="1"/>
    <col min="4" max="4" width="5.7109375" style="24" customWidth="1"/>
    <col min="5" max="5" width="6.28515625" style="24" customWidth="1"/>
    <col min="6" max="6" width="10.42578125" style="24" customWidth="1"/>
    <col min="7" max="7" width="0" style="24" hidden="1" customWidth="1"/>
    <col min="8" max="10" width="9" style="24"/>
    <col min="11" max="13" width="6.5703125" style="24" customWidth="1"/>
    <col min="14" max="14" width="11.5703125" style="24" customWidth="1"/>
    <col min="15" max="15" width="11.5703125" style="24" hidden="1" customWidth="1"/>
    <col min="16" max="18" width="11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107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94</v>
      </c>
      <c r="K8" s="53"/>
    </row>
    <row r="9" spans="1:18">
      <c r="A9" s="24" t="s">
        <v>236</v>
      </c>
      <c r="B9" s="189">
        <v>37018</v>
      </c>
      <c r="D9" s="42" t="s">
        <v>340</v>
      </c>
      <c r="E9" s="42" t="s">
        <v>340</v>
      </c>
      <c r="F9" s="73">
        <v>9984</v>
      </c>
      <c r="G9" s="73">
        <v>384</v>
      </c>
      <c r="H9" s="73">
        <v>16</v>
      </c>
      <c r="I9" s="73">
        <v>0</v>
      </c>
      <c r="J9" s="73">
        <v>0</v>
      </c>
      <c r="K9" s="53"/>
      <c r="L9" s="42"/>
      <c r="M9" s="42"/>
      <c r="N9" s="73">
        <v>9984</v>
      </c>
      <c r="O9" s="73"/>
      <c r="P9" s="73"/>
      <c r="Q9" s="73"/>
      <c r="R9" s="73"/>
    </row>
    <row r="10" spans="1:18">
      <c r="A10" s="24" t="s">
        <v>474</v>
      </c>
      <c r="B10" s="189">
        <v>42529</v>
      </c>
      <c r="F10" s="73">
        <v>10500</v>
      </c>
      <c r="G10" s="73">
        <v>400</v>
      </c>
      <c r="H10" s="73"/>
      <c r="I10" s="73">
        <v>0</v>
      </c>
      <c r="J10" s="73">
        <v>0</v>
      </c>
      <c r="K10" s="53"/>
      <c r="N10" s="73">
        <v>10500</v>
      </c>
      <c r="O10" s="73"/>
      <c r="P10" s="73"/>
      <c r="Q10" s="73"/>
      <c r="R10" s="73"/>
    </row>
    <row r="11" spans="1:18">
      <c r="K11" s="53"/>
    </row>
    <row r="12" spans="1:18">
      <c r="A12" s="40"/>
      <c r="B12" s="42"/>
      <c r="K12" s="53"/>
    </row>
    <row r="13" spans="1:18">
      <c r="A13" s="40" t="s">
        <v>96</v>
      </c>
      <c r="B13" s="42"/>
      <c r="K13" s="53"/>
    </row>
    <row r="14" spans="1:18">
      <c r="A14" s="24" t="s">
        <v>46</v>
      </c>
      <c r="B14" s="42"/>
      <c r="F14" s="36">
        <f>+F9+F10</f>
        <v>20484</v>
      </c>
      <c r="K14" s="53"/>
      <c r="N14" s="36">
        <f>ROUNDUP((+N9+N10),0)</f>
        <v>20484</v>
      </c>
    </row>
    <row r="15" spans="1:18">
      <c r="A15" s="24" t="s">
        <v>47</v>
      </c>
      <c r="B15" s="42"/>
      <c r="F15" s="36">
        <v>0</v>
      </c>
      <c r="K15" s="53"/>
      <c r="N15" s="36">
        <v>0</v>
      </c>
    </row>
    <row r="16" spans="1:18">
      <c r="A16" s="24" t="s">
        <v>52</v>
      </c>
      <c r="B16" s="42"/>
      <c r="F16" s="54">
        <v>0</v>
      </c>
      <c r="K16" s="53"/>
      <c r="N16" s="54">
        <v>0</v>
      </c>
    </row>
    <row r="17" spans="1:14">
      <c r="B17" s="42"/>
      <c r="F17" s="54"/>
      <c r="K17" s="53"/>
      <c r="N17" s="54"/>
    </row>
    <row r="18" spans="1:14">
      <c r="A18" s="42" t="s">
        <v>337</v>
      </c>
      <c r="B18" s="42"/>
      <c r="C18" s="193"/>
      <c r="D18" s="193"/>
      <c r="E18" s="193"/>
      <c r="F18" s="193">
        <f>SUM(F14:F16)</f>
        <v>20484</v>
      </c>
      <c r="K18" s="196"/>
      <c r="L18" s="193"/>
      <c r="M18" s="193"/>
      <c r="N18" s="193">
        <f>SUM(N14:N16)</f>
        <v>20484</v>
      </c>
    </row>
    <row r="21" spans="1:14">
      <c r="B21" s="42"/>
      <c r="F21" s="60" t="s">
        <v>626</v>
      </c>
      <c r="N21" s="60" t="s">
        <v>666</v>
      </c>
    </row>
    <row r="22" spans="1:14">
      <c r="B22" s="42"/>
      <c r="F22" s="60" t="s">
        <v>625</v>
      </c>
      <c r="N22" s="60" t="s">
        <v>664</v>
      </c>
    </row>
    <row r="23" spans="1:14">
      <c r="B23" s="42"/>
      <c r="F23" s="313" t="s">
        <v>97</v>
      </c>
      <c r="G23" s="62"/>
      <c r="H23" s="62"/>
      <c r="I23" s="62"/>
      <c r="K23" s="62"/>
      <c r="L23" s="62"/>
      <c r="M23" s="62"/>
      <c r="N23" s="313" t="s">
        <v>97</v>
      </c>
    </row>
    <row r="24" spans="1:14">
      <c r="B24" s="42"/>
    </row>
    <row r="25" spans="1:14">
      <c r="B25" s="42"/>
    </row>
    <row r="26" spans="1:14">
      <c r="B26" s="42"/>
    </row>
    <row r="27" spans="1:14">
      <c r="B27" s="42"/>
    </row>
    <row r="28" spans="1:14">
      <c r="B28" s="42"/>
    </row>
  </sheetData>
  <phoneticPr fontId="0" type="noConversion"/>
  <printOptions horizontalCentered="1" gridLines="1"/>
  <pageMargins left="0.45" right="0.35" top="0.75" bottom="1" header="0.3" footer="0.3"/>
  <pageSetup scale="67" orientation="landscape" r:id="rId1"/>
  <headerFooter>
    <oddFooter>&amp;L&amp;D FY25 Budget&amp;CPage 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6"/>
  <sheetViews>
    <sheetView topLeftCell="A2" zoomScalePageLayoutView="90" workbookViewId="0">
      <selection activeCell="H50" sqref="H50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2.42578125" style="24" customWidth="1"/>
    <col min="4" max="5" width="14.42578125" style="68" customWidth="1"/>
    <col min="6" max="9" width="14.42578125" style="67" customWidth="1"/>
    <col min="10" max="10" width="10.42578125" style="24" bestFit="1" customWidth="1"/>
    <col min="11" max="11" width="11.42578125" style="24" bestFit="1" customWidth="1"/>
    <col min="12" max="16384" width="9" style="24"/>
  </cols>
  <sheetData>
    <row r="1" spans="1:11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1">
      <c r="A2" s="30" t="s">
        <v>424</v>
      </c>
      <c r="E2" s="94"/>
      <c r="F2" s="79"/>
      <c r="G2" s="79"/>
    </row>
    <row r="3" spans="1:11">
      <c r="A3" s="30" t="s">
        <v>492</v>
      </c>
      <c r="E3" s="250"/>
      <c r="F3" s="29"/>
      <c r="G3" s="29"/>
    </row>
    <row r="4" spans="1:11" ht="41.2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1">
      <c r="A6" s="34" t="s">
        <v>38</v>
      </c>
    </row>
    <row r="7" spans="1:11">
      <c r="A7" s="35" t="s">
        <v>1</v>
      </c>
      <c r="B7" s="24" t="s">
        <v>45</v>
      </c>
      <c r="D7" s="376">
        <v>190550</v>
      </c>
      <c r="E7" s="376">
        <v>201212</v>
      </c>
      <c r="F7" s="71">
        <v>206341</v>
      </c>
      <c r="G7" s="201">
        <f>'Pers 210'!AF44</f>
        <v>212532</v>
      </c>
      <c r="H7" s="71">
        <v>212532</v>
      </c>
      <c r="I7" s="201"/>
    </row>
    <row r="8" spans="1:11">
      <c r="A8" s="35" t="s">
        <v>2</v>
      </c>
      <c r="B8" s="24" t="s">
        <v>46</v>
      </c>
      <c r="D8" s="376">
        <v>1980053</v>
      </c>
      <c r="E8" s="376">
        <v>2023704</v>
      </c>
      <c r="F8" s="71">
        <v>2321891.4799999995</v>
      </c>
      <c r="G8" s="201">
        <f>'Pers 210'!AF45</f>
        <v>2359062.3299999996</v>
      </c>
      <c r="H8" s="71">
        <v>2359062.3299999996</v>
      </c>
      <c r="I8" s="201"/>
      <c r="K8" s="36"/>
    </row>
    <row r="9" spans="1:11">
      <c r="A9" s="35" t="s">
        <v>4</v>
      </c>
      <c r="B9" s="24" t="s">
        <v>47</v>
      </c>
      <c r="D9" s="376">
        <v>25000</v>
      </c>
      <c r="E9" s="376">
        <v>0</v>
      </c>
      <c r="F9" s="71">
        <v>25000</v>
      </c>
      <c r="G9" s="201">
        <f>'Pers 210'!AF46</f>
        <v>54952</v>
      </c>
      <c r="H9" s="71">
        <v>54952</v>
      </c>
      <c r="I9" s="201"/>
    </row>
    <row r="10" spans="1:11">
      <c r="A10" s="35" t="s">
        <v>5</v>
      </c>
      <c r="B10" s="24" t="s">
        <v>48</v>
      </c>
      <c r="D10" s="376">
        <v>234474</v>
      </c>
      <c r="E10" s="376">
        <v>322848</v>
      </c>
      <c r="F10" s="71">
        <v>259000</v>
      </c>
      <c r="G10" s="201">
        <f>'Pers 210'!AF47</f>
        <v>265000</v>
      </c>
      <c r="H10" s="71">
        <v>265000</v>
      </c>
      <c r="I10" s="201"/>
    </row>
    <row r="11" spans="1:11">
      <c r="A11" s="74">
        <v>5142</v>
      </c>
      <c r="B11" s="24" t="s">
        <v>91</v>
      </c>
      <c r="D11" s="376">
        <v>22800</v>
      </c>
      <c r="E11" s="376">
        <v>29732</v>
      </c>
      <c r="F11" s="71">
        <v>28510</v>
      </c>
      <c r="G11" s="201">
        <f>'Pers 210'!AF48</f>
        <v>30450</v>
      </c>
      <c r="H11" s="71">
        <v>30450</v>
      </c>
      <c r="I11" s="201"/>
    </row>
    <row r="12" spans="1:11">
      <c r="A12" s="74">
        <v>5144</v>
      </c>
      <c r="B12" s="24" t="s">
        <v>449</v>
      </c>
      <c r="D12" s="376">
        <v>129435</v>
      </c>
      <c r="E12" s="376">
        <v>144128</v>
      </c>
      <c r="F12" s="71">
        <v>131839.92000000007</v>
      </c>
      <c r="G12" s="201">
        <f>'Pers 210'!AF49</f>
        <v>131839.92000000007</v>
      </c>
      <c r="H12" s="71">
        <v>131839.92000000007</v>
      </c>
      <c r="I12" s="201"/>
    </row>
    <row r="13" spans="1:11">
      <c r="A13" s="74">
        <v>5146</v>
      </c>
      <c r="B13" s="24" t="s">
        <v>49</v>
      </c>
      <c r="D13" s="376">
        <v>37012</v>
      </c>
      <c r="E13" s="376">
        <v>72778</v>
      </c>
      <c r="F13" s="71">
        <v>68010</v>
      </c>
      <c r="G13" s="201">
        <f>'Pers 210'!AF50</f>
        <v>78206</v>
      </c>
      <c r="H13" s="71">
        <v>78206</v>
      </c>
      <c r="I13" s="201"/>
    </row>
    <row r="14" spans="1:11">
      <c r="A14" s="35" t="s">
        <v>7</v>
      </c>
      <c r="B14" s="24" t="s">
        <v>50</v>
      </c>
      <c r="D14" s="376">
        <v>0</v>
      </c>
      <c r="E14" s="376">
        <v>20880</v>
      </c>
      <c r="F14" s="71">
        <v>0</v>
      </c>
      <c r="G14" s="201">
        <v>0</v>
      </c>
      <c r="H14" s="71">
        <v>0</v>
      </c>
      <c r="I14" s="201"/>
    </row>
    <row r="15" spans="1:11">
      <c r="A15" s="74">
        <v>5172</v>
      </c>
      <c r="B15" s="24" t="s">
        <v>67</v>
      </c>
      <c r="D15" s="376">
        <v>270278</v>
      </c>
      <c r="E15" s="376">
        <v>280738</v>
      </c>
      <c r="F15" s="71">
        <v>284607.2</v>
      </c>
      <c r="G15" s="201">
        <f>'Pers 210'!AF51</f>
        <v>316418.99000000005</v>
      </c>
      <c r="H15" s="71">
        <v>316418.99000000005</v>
      </c>
      <c r="I15" s="201"/>
    </row>
    <row r="16" spans="1:11">
      <c r="A16" s="74">
        <v>5174</v>
      </c>
      <c r="B16" s="24" t="s">
        <v>408</v>
      </c>
      <c r="D16" s="376">
        <v>27745</v>
      </c>
      <c r="E16" s="376">
        <v>56875</v>
      </c>
      <c r="F16" s="71">
        <v>40800</v>
      </c>
      <c r="G16" s="201">
        <f>'Pers 210'!AF53+'Pers 210'!AF52</f>
        <v>31340</v>
      </c>
      <c r="H16" s="71">
        <v>31340</v>
      </c>
      <c r="I16" s="201"/>
    </row>
    <row r="17" spans="1:10">
      <c r="A17" s="74">
        <v>5176</v>
      </c>
      <c r="B17" s="24" t="s">
        <v>556</v>
      </c>
      <c r="D17" s="376">
        <v>12400</v>
      </c>
      <c r="E17" s="376">
        <v>12000</v>
      </c>
      <c r="F17" s="71">
        <v>10800</v>
      </c>
      <c r="G17" s="201">
        <f>'Pers 210'!AF54</f>
        <v>11200</v>
      </c>
      <c r="H17" s="71">
        <v>11200</v>
      </c>
      <c r="I17" s="201"/>
    </row>
    <row r="18" spans="1:10">
      <c r="A18" s="74">
        <v>5192</v>
      </c>
      <c r="B18" s="24" t="s">
        <v>341</v>
      </c>
      <c r="D18" s="376">
        <v>18592</v>
      </c>
      <c r="E18" s="376">
        <f>41681-22259</f>
        <v>19422</v>
      </c>
      <c r="F18" s="71">
        <v>6129.98</v>
      </c>
      <c r="G18" s="201">
        <f>'Pers 210'!AF55</f>
        <v>17020.91</v>
      </c>
      <c r="H18" s="71">
        <v>17020.91</v>
      </c>
      <c r="I18" s="201"/>
    </row>
    <row r="19" spans="1:10">
      <c r="A19" s="74">
        <v>5192</v>
      </c>
      <c r="B19" s="24" t="s">
        <v>617</v>
      </c>
      <c r="D19" s="302">
        <v>0</v>
      </c>
      <c r="E19" s="302">
        <f>7898+7898+6463</f>
        <v>22259</v>
      </c>
      <c r="F19" s="17">
        <v>20135.57</v>
      </c>
      <c r="G19" s="22">
        <f>'Pers 210'!AF56</f>
        <v>14792</v>
      </c>
      <c r="H19" s="17">
        <v>14792</v>
      </c>
      <c r="I19" s="201"/>
    </row>
    <row r="20" spans="1:10">
      <c r="A20" s="74">
        <v>5195</v>
      </c>
      <c r="B20" s="24" t="s">
        <v>52</v>
      </c>
      <c r="D20" s="387">
        <v>0</v>
      </c>
      <c r="E20" s="387">
        <v>0</v>
      </c>
      <c r="F20" s="301">
        <v>0</v>
      </c>
      <c r="G20" s="296">
        <f>'Pers 210'!AF57</f>
        <v>54131</v>
      </c>
      <c r="H20" s="301">
        <v>54131</v>
      </c>
      <c r="I20" s="296"/>
    </row>
    <row r="21" spans="1:10">
      <c r="A21" s="35"/>
      <c r="D21" s="377">
        <f t="shared" ref="D21:I21" si="0">SUM(D7:D20)</f>
        <v>2948339</v>
      </c>
      <c r="E21" s="377">
        <f t="shared" si="0"/>
        <v>3206576</v>
      </c>
      <c r="F21" s="295">
        <f t="shared" si="0"/>
        <v>3403065.1499999994</v>
      </c>
      <c r="G21" s="295">
        <f>SUM(G7:G20)</f>
        <v>3576945.15</v>
      </c>
      <c r="H21" s="295">
        <f t="shared" si="0"/>
        <v>3576945.15</v>
      </c>
      <c r="I21" s="295">
        <f t="shared" si="0"/>
        <v>0</v>
      </c>
      <c r="J21" s="67"/>
    </row>
    <row r="22" spans="1:10">
      <c r="A22" s="30" t="s">
        <v>44</v>
      </c>
      <c r="D22" s="376"/>
      <c r="E22" s="376"/>
      <c r="F22" s="201"/>
      <c r="G22" s="201"/>
      <c r="H22" s="201"/>
      <c r="I22" s="201"/>
    </row>
    <row r="23" spans="1:10">
      <c r="A23" s="35" t="s">
        <v>13</v>
      </c>
      <c r="B23" s="24" t="s">
        <v>53</v>
      </c>
      <c r="D23" s="383">
        <v>758</v>
      </c>
      <c r="E23" s="383">
        <v>2936</v>
      </c>
      <c r="F23" s="299">
        <v>3000</v>
      </c>
      <c r="G23" s="299">
        <v>3000</v>
      </c>
      <c r="H23" s="299">
        <v>3000</v>
      </c>
      <c r="I23" s="299"/>
    </row>
    <row r="24" spans="1:10">
      <c r="A24" s="35" t="s">
        <v>15</v>
      </c>
      <c r="B24" s="24" t="s">
        <v>55</v>
      </c>
      <c r="D24" s="383">
        <v>3814</v>
      </c>
      <c r="E24" s="383">
        <v>2502</v>
      </c>
      <c r="F24" s="299">
        <v>2000</v>
      </c>
      <c r="G24" s="299">
        <v>2000</v>
      </c>
      <c r="H24" s="299">
        <v>2000</v>
      </c>
      <c r="I24" s="299"/>
    </row>
    <row r="25" spans="1:10">
      <c r="A25" s="35" t="s">
        <v>16</v>
      </c>
      <c r="B25" s="24" t="s">
        <v>56</v>
      </c>
      <c r="D25" s="383">
        <v>16840</v>
      </c>
      <c r="E25" s="383">
        <v>34128</v>
      </c>
      <c r="F25" s="299">
        <v>22000</v>
      </c>
      <c r="G25" s="299">
        <v>35000</v>
      </c>
      <c r="H25" s="299">
        <v>35000</v>
      </c>
      <c r="I25" s="299"/>
    </row>
    <row r="26" spans="1:10">
      <c r="A26" s="35" t="s">
        <v>18</v>
      </c>
      <c r="B26" s="24" t="s">
        <v>58</v>
      </c>
      <c r="D26" s="383">
        <v>2022</v>
      </c>
      <c r="E26" s="383">
        <v>0</v>
      </c>
      <c r="F26" s="299">
        <v>2000</v>
      </c>
      <c r="G26" s="299">
        <v>1500</v>
      </c>
      <c r="H26" s="299">
        <v>1500</v>
      </c>
      <c r="I26" s="299"/>
    </row>
    <row r="27" spans="1:10">
      <c r="A27" s="35" t="s">
        <v>20</v>
      </c>
      <c r="B27" s="24" t="s">
        <v>59</v>
      </c>
      <c r="D27" s="383">
        <v>3540</v>
      </c>
      <c r="E27" s="383">
        <v>1906</v>
      </c>
      <c r="F27" s="299">
        <v>3000</v>
      </c>
      <c r="G27" s="299">
        <v>2000</v>
      </c>
      <c r="H27" s="299">
        <v>2000</v>
      </c>
      <c r="I27" s="299"/>
    </row>
    <row r="28" spans="1:10">
      <c r="A28" s="35"/>
      <c r="D28" s="377">
        <f t="shared" ref="D28:I28" si="1">SUM(D23:D27)</f>
        <v>26974</v>
      </c>
      <c r="E28" s="377">
        <f t="shared" si="1"/>
        <v>41472</v>
      </c>
      <c r="F28" s="295">
        <f t="shared" si="1"/>
        <v>32000</v>
      </c>
      <c r="G28" s="295">
        <f>SUM(G23:G27)</f>
        <v>43500</v>
      </c>
      <c r="H28" s="295">
        <f t="shared" ref="H28" si="2">SUM(H23:H27)</f>
        <v>43500</v>
      </c>
      <c r="I28" s="295">
        <f t="shared" si="1"/>
        <v>0</v>
      </c>
    </row>
    <row r="29" spans="1:10">
      <c r="A29" s="30" t="s">
        <v>43</v>
      </c>
      <c r="B29" s="24" t="s">
        <v>0</v>
      </c>
      <c r="D29" s="383" t="s">
        <v>0</v>
      </c>
      <c r="E29" s="383" t="s">
        <v>0</v>
      </c>
      <c r="F29" s="299" t="s">
        <v>0</v>
      </c>
      <c r="G29" s="299" t="s">
        <v>0</v>
      </c>
      <c r="H29" s="299" t="s">
        <v>0</v>
      </c>
      <c r="I29" s="299" t="s">
        <v>0</v>
      </c>
    </row>
    <row r="30" spans="1:10">
      <c r="A30" s="35" t="s">
        <v>21</v>
      </c>
      <c r="B30" s="24" t="s">
        <v>60</v>
      </c>
      <c r="D30" s="383">
        <v>14393</v>
      </c>
      <c r="E30" s="383">
        <v>15041</v>
      </c>
      <c r="F30" s="71">
        <v>15000</v>
      </c>
      <c r="G30" s="71">
        <v>15000</v>
      </c>
      <c r="H30" s="71">
        <v>15000</v>
      </c>
      <c r="I30" s="299"/>
    </row>
    <row r="31" spans="1:10">
      <c r="A31" s="35" t="s">
        <v>22</v>
      </c>
      <c r="B31" s="24" t="s">
        <v>61</v>
      </c>
      <c r="D31" s="383">
        <v>3002</v>
      </c>
      <c r="E31" s="383">
        <v>4603</v>
      </c>
      <c r="F31" s="71">
        <v>3900</v>
      </c>
      <c r="G31" s="71">
        <v>4000</v>
      </c>
      <c r="H31" s="71">
        <v>4000</v>
      </c>
      <c r="I31" s="299"/>
    </row>
    <row r="32" spans="1:10">
      <c r="A32" s="35" t="s">
        <v>23</v>
      </c>
      <c r="B32" s="24" t="s">
        <v>62</v>
      </c>
      <c r="D32" s="383">
        <v>2138</v>
      </c>
      <c r="E32" s="383">
        <v>3628</v>
      </c>
      <c r="F32" s="71">
        <v>500</v>
      </c>
      <c r="G32" s="71">
        <v>1000</v>
      </c>
      <c r="H32" s="71">
        <v>1000</v>
      </c>
      <c r="I32" s="299"/>
    </row>
    <row r="33" spans="1:59">
      <c r="A33" s="35" t="s">
        <v>25</v>
      </c>
      <c r="B33" s="24" t="s">
        <v>64</v>
      </c>
      <c r="D33" s="383">
        <v>39390</v>
      </c>
      <c r="E33" s="383">
        <v>54409</v>
      </c>
      <c r="F33" s="71">
        <v>35000</v>
      </c>
      <c r="G33" s="71">
        <v>37500</v>
      </c>
      <c r="H33" s="71">
        <v>37500</v>
      </c>
      <c r="I33" s="299"/>
    </row>
    <row r="34" spans="1:59">
      <c r="A34" s="74">
        <v>5482</v>
      </c>
      <c r="B34" s="24" t="s">
        <v>390</v>
      </c>
      <c r="D34" s="383">
        <v>22000</v>
      </c>
      <c r="E34" s="383">
        <v>13946</v>
      </c>
      <c r="F34" s="71">
        <v>40000</v>
      </c>
      <c r="G34" s="71">
        <v>40000</v>
      </c>
      <c r="H34" s="71">
        <v>40000</v>
      </c>
      <c r="I34" s="299"/>
    </row>
    <row r="35" spans="1:59">
      <c r="A35" s="35" t="s">
        <v>26</v>
      </c>
      <c r="B35" s="24" t="s">
        <v>65</v>
      </c>
      <c r="D35" s="383">
        <v>167</v>
      </c>
      <c r="E35" s="383">
        <v>172</v>
      </c>
      <c r="F35" s="71">
        <v>250</v>
      </c>
      <c r="G35" s="71">
        <v>750</v>
      </c>
      <c r="H35" s="71">
        <v>750</v>
      </c>
      <c r="I35" s="299"/>
    </row>
    <row r="36" spans="1:59">
      <c r="A36" s="35" t="s">
        <v>27</v>
      </c>
      <c r="B36" s="24" t="s">
        <v>66</v>
      </c>
      <c r="D36" s="383">
        <v>4311</v>
      </c>
      <c r="E36" s="383">
        <v>6461</v>
      </c>
      <c r="F36" s="71">
        <v>3000</v>
      </c>
      <c r="G36" s="71">
        <v>2000</v>
      </c>
      <c r="H36" s="71">
        <v>2000</v>
      </c>
      <c r="I36" s="299"/>
    </row>
    <row r="37" spans="1:59">
      <c r="A37" s="35" t="s">
        <v>28</v>
      </c>
      <c r="B37" s="24" t="s">
        <v>67</v>
      </c>
      <c r="D37" s="383">
        <v>0</v>
      </c>
      <c r="E37" s="383">
        <v>390</v>
      </c>
      <c r="F37" s="71">
        <v>2000</v>
      </c>
      <c r="G37" s="71">
        <v>5000</v>
      </c>
      <c r="H37" s="71">
        <v>5000</v>
      </c>
      <c r="I37" s="299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</row>
    <row r="38" spans="1:59">
      <c r="A38" s="74">
        <v>5582</v>
      </c>
      <c r="B38" s="24" t="s">
        <v>392</v>
      </c>
      <c r="D38" s="383">
        <v>27806</v>
      </c>
      <c r="E38" s="383">
        <v>25835</v>
      </c>
      <c r="F38" s="71">
        <v>27000</v>
      </c>
      <c r="G38" s="71">
        <v>28000</v>
      </c>
      <c r="H38" s="71">
        <v>28000</v>
      </c>
      <c r="I38" s="299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</row>
    <row r="39" spans="1:59">
      <c r="A39" s="35" t="s">
        <v>30</v>
      </c>
      <c r="B39" s="24" t="s">
        <v>397</v>
      </c>
      <c r="D39" s="383">
        <v>9445</v>
      </c>
      <c r="E39" s="383">
        <v>10623</v>
      </c>
      <c r="F39" s="300">
        <v>12000</v>
      </c>
      <c r="G39" s="300">
        <v>12500</v>
      </c>
      <c r="H39" s="300">
        <v>12500</v>
      </c>
      <c r="I39" s="299"/>
      <c r="AT39" s="62"/>
      <c r="AU39" s="62"/>
      <c r="AV39" s="62"/>
      <c r="AW39" s="62"/>
    </row>
    <row r="40" spans="1:59">
      <c r="A40" s="35"/>
      <c r="D40" s="377">
        <f t="shared" ref="D40:I40" si="3">SUM(D30:D39)</f>
        <v>122652</v>
      </c>
      <c r="E40" s="377">
        <f t="shared" si="3"/>
        <v>135108</v>
      </c>
      <c r="F40" s="295">
        <f t="shared" si="3"/>
        <v>138650</v>
      </c>
      <c r="G40" s="295">
        <f>SUM(G30:G39)</f>
        <v>145750</v>
      </c>
      <c r="H40" s="295">
        <f t="shared" ref="H40" si="4">SUM(H30:H39)</f>
        <v>145750</v>
      </c>
      <c r="I40" s="295">
        <f t="shared" si="3"/>
        <v>0</v>
      </c>
    </row>
    <row r="41" spans="1:59">
      <c r="A41" s="30" t="s">
        <v>39</v>
      </c>
      <c r="D41" s="383"/>
      <c r="E41" s="383"/>
      <c r="F41" s="299"/>
      <c r="G41" s="299"/>
      <c r="H41" s="299"/>
      <c r="I41" s="299"/>
    </row>
    <row r="42" spans="1:59">
      <c r="A42" s="35" t="s">
        <v>31</v>
      </c>
      <c r="B42" s="24" t="s">
        <v>70</v>
      </c>
      <c r="D42" s="383">
        <v>1882</v>
      </c>
      <c r="E42" s="383">
        <v>964</v>
      </c>
      <c r="F42" s="299">
        <v>1000</v>
      </c>
      <c r="G42" s="299">
        <v>600</v>
      </c>
      <c r="H42" s="299">
        <v>600</v>
      </c>
      <c r="I42" s="299"/>
    </row>
    <row r="43" spans="1:59">
      <c r="A43" s="35" t="s">
        <v>32</v>
      </c>
      <c r="B43" s="24" t="s">
        <v>239</v>
      </c>
      <c r="D43" s="383">
        <v>0</v>
      </c>
      <c r="E43" s="383">
        <v>11</v>
      </c>
      <c r="F43" s="299">
        <v>500</v>
      </c>
      <c r="G43" s="299">
        <v>500</v>
      </c>
      <c r="H43" s="299">
        <v>500</v>
      </c>
      <c r="I43" s="299"/>
    </row>
    <row r="44" spans="1:59">
      <c r="A44" s="35" t="s">
        <v>33</v>
      </c>
      <c r="B44" s="24" t="s">
        <v>71</v>
      </c>
      <c r="D44" s="383">
        <v>10319</v>
      </c>
      <c r="E44" s="383">
        <v>12814</v>
      </c>
      <c r="F44" s="299">
        <v>10500</v>
      </c>
      <c r="G44" s="299">
        <v>10500</v>
      </c>
      <c r="H44" s="299">
        <v>10500</v>
      </c>
      <c r="I44" s="299"/>
    </row>
    <row r="45" spans="1:59">
      <c r="A45" s="74">
        <v>5780</v>
      </c>
      <c r="B45" s="24" t="s">
        <v>75</v>
      </c>
      <c r="D45" s="383">
        <v>3008</v>
      </c>
      <c r="E45" s="383">
        <v>2615</v>
      </c>
      <c r="F45" s="299">
        <v>4500</v>
      </c>
      <c r="G45" s="299">
        <v>5000</v>
      </c>
      <c r="H45" s="299">
        <v>5000</v>
      </c>
      <c r="I45" s="201">
        <v>0</v>
      </c>
    </row>
    <row r="46" spans="1:59">
      <c r="A46" s="35"/>
      <c r="D46" s="377">
        <f t="shared" ref="D46:I46" si="5">SUM(D42:D45)</f>
        <v>15209</v>
      </c>
      <c r="E46" s="377">
        <f t="shared" si="5"/>
        <v>16404</v>
      </c>
      <c r="F46" s="295">
        <f t="shared" si="5"/>
        <v>16500</v>
      </c>
      <c r="G46" s="295">
        <f t="shared" si="5"/>
        <v>16600</v>
      </c>
      <c r="H46" s="295">
        <f t="shared" ref="H46" si="6">SUM(H42:H45)</f>
        <v>16600</v>
      </c>
      <c r="I46" s="295">
        <f t="shared" si="5"/>
        <v>0</v>
      </c>
    </row>
    <row r="47" spans="1:59">
      <c r="E47" s="91"/>
      <c r="F47"/>
      <c r="G47"/>
      <c r="H47"/>
    </row>
    <row r="48" spans="1:59">
      <c r="A48" s="30" t="s">
        <v>40</v>
      </c>
      <c r="D48" s="210">
        <f t="shared" ref="D48:I48" si="7">SUM(D7:D46)/2</f>
        <v>3113174</v>
      </c>
      <c r="E48" s="210">
        <f t="shared" si="7"/>
        <v>3399560</v>
      </c>
      <c r="F48" s="210">
        <f t="shared" si="7"/>
        <v>3590215.1499999994</v>
      </c>
      <c r="G48" s="202">
        <f>+G21+G28+G40+G46</f>
        <v>3782795.15</v>
      </c>
      <c r="H48" s="202">
        <f t="shared" si="7"/>
        <v>3782795.15</v>
      </c>
      <c r="I48" s="202">
        <f t="shared" si="7"/>
        <v>0</v>
      </c>
      <c r="J48" s="36"/>
    </row>
    <row r="49" spans="1:9" customFormat="1">
      <c r="D49" s="91"/>
      <c r="E49" s="91"/>
    </row>
    <row r="50" spans="1:9" customFormat="1">
      <c r="D50" s="372"/>
      <c r="E50" s="384"/>
      <c r="F50" s="251"/>
      <c r="G50" s="251"/>
    </row>
    <row r="51" spans="1:9" customFormat="1">
      <c r="D51" s="91"/>
      <c r="E51" s="91"/>
    </row>
    <row r="52" spans="1:9" customFormat="1">
      <c r="D52" s="91"/>
      <c r="E52" s="91"/>
    </row>
    <row r="53" spans="1:9">
      <c r="A53"/>
      <c r="B53"/>
      <c r="C53"/>
      <c r="D53" s="91"/>
      <c r="E53" s="91"/>
      <c r="F53"/>
      <c r="G53"/>
      <c r="H53"/>
      <c r="I53"/>
    </row>
    <row r="54" spans="1:9">
      <c r="A54"/>
      <c r="B54"/>
      <c r="C54"/>
      <c r="D54" s="91"/>
      <c r="E54" s="385"/>
      <c r="F54"/>
      <c r="G54"/>
      <c r="H54"/>
      <c r="I54"/>
    </row>
    <row r="55" spans="1:9">
      <c r="A55"/>
      <c r="B55"/>
      <c r="C55"/>
      <c r="D55" s="91"/>
      <c r="E55" s="91"/>
      <c r="F55"/>
      <c r="G55"/>
      <c r="H55"/>
      <c r="I55"/>
    </row>
    <row r="56" spans="1:9">
      <c r="A56"/>
      <c r="B56"/>
      <c r="C56"/>
      <c r="D56" s="91"/>
      <c r="E56" s="91"/>
      <c r="F56"/>
      <c r="G56"/>
      <c r="H56"/>
      <c r="I56"/>
    </row>
    <row r="57" spans="1:9">
      <c r="A57"/>
      <c r="B57"/>
      <c r="C57"/>
      <c r="D57" s="91"/>
      <c r="E57" s="91"/>
      <c r="F57"/>
      <c r="G57"/>
      <c r="H57"/>
      <c r="I57"/>
    </row>
    <row r="58" spans="1:9">
      <c r="A58"/>
      <c r="B58"/>
      <c r="C58"/>
      <c r="D58" s="91"/>
      <c r="E58" s="91"/>
      <c r="F58"/>
      <c r="G58"/>
      <c r="H58"/>
      <c r="I58"/>
    </row>
    <row r="59" spans="1:9">
      <c r="A59"/>
      <c r="B59"/>
      <c r="C59"/>
      <c r="D59" s="91"/>
      <c r="E59" s="91"/>
      <c r="F59"/>
      <c r="G59"/>
      <c r="H59"/>
      <c r="I59"/>
    </row>
    <row r="60" spans="1:9">
      <c r="A60"/>
      <c r="B60"/>
      <c r="C60"/>
      <c r="D60" s="91"/>
      <c r="E60" s="91"/>
      <c r="F60"/>
      <c r="G60"/>
      <c r="H60"/>
      <c r="I60"/>
    </row>
    <row r="61" spans="1:9">
      <c r="A61"/>
      <c r="B61"/>
      <c r="C61"/>
      <c r="D61" s="91"/>
      <c r="E61" s="91"/>
      <c r="F61"/>
      <c r="G61"/>
      <c r="H61"/>
      <c r="I61"/>
    </row>
    <row r="62" spans="1:9">
      <c r="A62"/>
      <c r="B62"/>
      <c r="C62"/>
      <c r="D62" s="91"/>
      <c r="E62" s="91"/>
      <c r="F62"/>
      <c r="G62"/>
      <c r="H62"/>
      <c r="I62"/>
    </row>
    <row r="63" spans="1:9">
      <c r="A63"/>
      <c r="B63"/>
      <c r="C63"/>
      <c r="D63" s="91"/>
      <c r="E63" s="91"/>
      <c r="F63"/>
      <c r="G63"/>
      <c r="H63"/>
      <c r="I63"/>
    </row>
    <row r="64" spans="1:9">
      <c r="A64"/>
      <c r="B64"/>
      <c r="C64"/>
      <c r="D64" s="91"/>
      <c r="E64" s="91"/>
      <c r="F64"/>
      <c r="G64"/>
      <c r="H64"/>
      <c r="I64"/>
    </row>
    <row r="65" spans="1:9">
      <c r="A65"/>
      <c r="B65"/>
      <c r="C65"/>
      <c r="D65" s="91"/>
      <c r="E65" s="91"/>
      <c r="F65"/>
      <c r="G65"/>
      <c r="H65"/>
      <c r="I65"/>
    </row>
    <row r="66" spans="1:9">
      <c r="A66"/>
      <c r="B66"/>
      <c r="C66"/>
      <c r="D66" s="91"/>
      <c r="E66" s="91"/>
      <c r="F66"/>
      <c r="G66"/>
      <c r="H66"/>
      <c r="I66"/>
    </row>
    <row r="67" spans="1:9">
      <c r="A67"/>
      <c r="B67"/>
      <c r="C67"/>
      <c r="D67" s="91"/>
      <c r="E67" s="91"/>
      <c r="F67"/>
      <c r="G67"/>
      <c r="H67"/>
      <c r="I67"/>
    </row>
    <row r="68" spans="1:9">
      <c r="A68"/>
      <c r="B68"/>
      <c r="C68"/>
      <c r="D68" s="91"/>
      <c r="E68" s="91"/>
      <c r="F68"/>
      <c r="G68"/>
      <c r="H68"/>
      <c r="I68"/>
    </row>
    <row r="69" spans="1:9">
      <c r="A69"/>
      <c r="B69"/>
      <c r="C69"/>
      <c r="D69" s="91"/>
      <c r="E69" s="91"/>
      <c r="F69"/>
      <c r="G69"/>
      <c r="H69"/>
      <c r="I69"/>
    </row>
    <row r="70" spans="1:9">
      <c r="A70"/>
      <c r="B70"/>
      <c r="C70"/>
      <c r="D70" s="91"/>
      <c r="E70" s="91"/>
      <c r="F70"/>
      <c r="G70"/>
      <c r="H70"/>
      <c r="I70"/>
    </row>
    <row r="71" spans="1:9">
      <c r="A71"/>
      <c r="B71"/>
      <c r="C71"/>
      <c r="D71" s="91"/>
      <c r="E71" s="91"/>
      <c r="F71"/>
      <c r="G71"/>
      <c r="H71"/>
      <c r="I71"/>
    </row>
    <row r="72" spans="1:9">
      <c r="A72"/>
      <c r="B72"/>
      <c r="C72"/>
      <c r="D72" s="91"/>
      <c r="E72" s="91"/>
      <c r="F72"/>
      <c r="G72"/>
      <c r="H72"/>
      <c r="I72"/>
    </row>
    <row r="73" spans="1:9">
      <c r="A73"/>
      <c r="B73"/>
      <c r="C73"/>
      <c r="D73" s="91"/>
      <c r="E73" s="91"/>
      <c r="F73"/>
      <c r="G73"/>
      <c r="H73"/>
      <c r="I73"/>
    </row>
    <row r="74" spans="1:9">
      <c r="A74"/>
      <c r="B74"/>
      <c r="C74"/>
      <c r="D74" s="91"/>
      <c r="E74" s="91"/>
      <c r="F74"/>
      <c r="G74"/>
      <c r="H74"/>
      <c r="I74"/>
    </row>
    <row r="75" spans="1:9">
      <c r="A75"/>
      <c r="B75"/>
      <c r="C75"/>
      <c r="D75" s="91"/>
      <c r="E75" s="91"/>
      <c r="F75"/>
      <c r="G75"/>
      <c r="H75"/>
      <c r="I75"/>
    </row>
    <row r="76" spans="1:9">
      <c r="A76"/>
      <c r="B76"/>
      <c r="C76"/>
      <c r="D76" s="91"/>
      <c r="E76" s="91"/>
      <c r="F76"/>
      <c r="G76"/>
      <c r="H76"/>
      <c r="I76"/>
    </row>
  </sheetData>
  <phoneticPr fontId="0" type="noConversion"/>
  <printOptions horizontalCentered="1"/>
  <pageMargins left="0.45" right="0.35" top="0.75" bottom="1" header="0.3" footer="0.3"/>
  <pageSetup scale="67" orientation="landscape" r:id="rId1"/>
  <headerFooter>
    <oddFooter>&amp;L&amp;D FY25 Budget&amp;CPage 22</oddFooter>
  </headerFooter>
  <ignoredErrors>
    <ignoredError sqref="A39:A44 A35:A37 A21:A24 A7:A10 A14 A25:A33 A46:A4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topLeftCell="Q1" workbookViewId="0">
      <selection activeCell="AF45" sqref="AF45"/>
    </sheetView>
  </sheetViews>
  <sheetFormatPr defaultColWidth="9.28515625" defaultRowHeight="15"/>
  <cols>
    <col min="1" max="1" width="14.5703125" style="24" hidden="1" customWidth="1"/>
    <col min="2" max="2" width="10.42578125" style="24" hidden="1" customWidth="1"/>
    <col min="3" max="3" width="0" style="24" hidden="1" customWidth="1"/>
    <col min="4" max="4" width="10.5703125" style="24" hidden="1" customWidth="1"/>
    <col min="5" max="5" width="0" style="24" hidden="1" customWidth="1"/>
    <col min="6" max="12" width="12.5703125" style="24" hidden="1" customWidth="1"/>
    <col min="13" max="13" width="0" style="24" hidden="1" customWidth="1"/>
    <col min="14" max="14" width="11.42578125" style="24" customWidth="1"/>
    <col min="15" max="18" width="9.28515625" style="24"/>
    <col min="19" max="20" width="10" style="24" bestFit="1" customWidth="1"/>
    <col min="21" max="21" width="12" style="24" bestFit="1" customWidth="1"/>
    <col min="22" max="25" width="9.28515625" style="24"/>
    <col min="26" max="26" width="12.28515625" style="24" customWidth="1"/>
    <col min="27" max="30" width="9.28515625" style="24"/>
    <col min="31" max="31" width="11.7109375" style="24" customWidth="1"/>
    <col min="32" max="32" width="10.42578125" style="24" customWidth="1"/>
    <col min="33" max="35" width="9.28515625" style="24"/>
    <col min="36" max="36" width="11.42578125" style="24" bestFit="1" customWidth="1"/>
    <col min="37" max="16384" width="9.28515625" style="24"/>
  </cols>
  <sheetData>
    <row r="1" spans="1:3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0" t="str">
        <f>+A1</f>
        <v>Fiscal Year 2025 Budget Worksheet</v>
      </c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0" t="str">
        <f>+N1</f>
        <v>Fiscal Year 2025 Budget Worksheet</v>
      </c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</row>
    <row r="2" spans="1:38">
      <c r="A2" s="336" t="s">
        <v>42</v>
      </c>
      <c r="B2" s="41" t="s">
        <v>165</v>
      </c>
      <c r="N2" s="336" t="s">
        <v>42</v>
      </c>
      <c r="O2" s="41" t="s">
        <v>165</v>
      </c>
      <c r="Z2" s="336" t="s">
        <v>42</v>
      </c>
      <c r="AA2" s="41" t="s">
        <v>165</v>
      </c>
    </row>
    <row r="3" spans="1:38">
      <c r="A3" s="44"/>
      <c r="B3" s="43" t="s">
        <v>551</v>
      </c>
      <c r="C3" s="43"/>
      <c r="D3" s="45"/>
      <c r="E3" s="45"/>
      <c r="F3" s="45"/>
      <c r="G3" s="43"/>
      <c r="H3" s="45"/>
      <c r="I3" s="45"/>
      <c r="J3" s="45"/>
      <c r="K3" s="45"/>
      <c r="L3" s="45"/>
      <c r="N3" s="44"/>
      <c r="O3" s="43" t="s">
        <v>624</v>
      </c>
      <c r="P3" s="43"/>
      <c r="Q3" s="45"/>
      <c r="R3" s="45"/>
      <c r="S3" s="45"/>
      <c r="T3" s="43"/>
      <c r="U3" s="45"/>
      <c r="V3" s="45"/>
      <c r="W3" s="45"/>
      <c r="X3" s="45"/>
      <c r="Y3" s="45"/>
      <c r="Z3" s="44"/>
      <c r="AA3" s="43" t="s">
        <v>662</v>
      </c>
      <c r="AB3" s="43"/>
      <c r="AC3" s="45"/>
      <c r="AD3" s="45"/>
      <c r="AE3" s="45"/>
      <c r="AF3" s="43"/>
      <c r="AG3" s="45"/>
      <c r="AH3" s="45"/>
      <c r="AI3" s="45"/>
      <c r="AJ3" s="45"/>
      <c r="AK3" s="45" t="s">
        <v>697</v>
      </c>
      <c r="AL3" s="24" t="s">
        <v>696</v>
      </c>
    </row>
    <row r="4" spans="1:38" s="48" customFormat="1">
      <c r="A4" s="337"/>
      <c r="B4" s="49" t="s">
        <v>83</v>
      </c>
      <c r="C4" s="49"/>
      <c r="D4" s="49" t="s">
        <v>86</v>
      </c>
      <c r="E4" s="49" t="s">
        <v>87</v>
      </c>
      <c r="F4" s="49" t="s">
        <v>88</v>
      </c>
      <c r="G4" s="326" t="s">
        <v>338</v>
      </c>
      <c r="H4" s="326" t="s">
        <v>90</v>
      </c>
      <c r="I4" s="327" t="s">
        <v>91</v>
      </c>
      <c r="J4" s="327" t="s">
        <v>353</v>
      </c>
      <c r="K4" s="327" t="s">
        <v>334</v>
      </c>
      <c r="L4" s="49" t="s">
        <v>342</v>
      </c>
      <c r="N4" s="337"/>
      <c r="O4" s="49" t="s">
        <v>83</v>
      </c>
      <c r="P4" s="49"/>
      <c r="Q4" s="49" t="s">
        <v>86</v>
      </c>
      <c r="R4" s="49" t="s">
        <v>87</v>
      </c>
      <c r="S4" s="49" t="s">
        <v>88</v>
      </c>
      <c r="T4" s="326" t="s">
        <v>338</v>
      </c>
      <c r="U4" s="326" t="s">
        <v>90</v>
      </c>
      <c r="V4" s="327" t="s">
        <v>91</v>
      </c>
      <c r="W4" s="327" t="s">
        <v>353</v>
      </c>
      <c r="X4" s="327" t="s">
        <v>334</v>
      </c>
      <c r="Y4" s="49" t="s">
        <v>342</v>
      </c>
      <c r="Z4" s="337"/>
      <c r="AA4" s="49" t="s">
        <v>83</v>
      </c>
      <c r="AB4" s="49"/>
      <c r="AC4" s="49" t="s">
        <v>86</v>
      </c>
      <c r="AD4" s="49" t="s">
        <v>87</v>
      </c>
      <c r="AE4" s="49" t="s">
        <v>88</v>
      </c>
      <c r="AF4" s="326" t="s">
        <v>338</v>
      </c>
      <c r="AG4" s="326" t="s">
        <v>90</v>
      </c>
      <c r="AH4" s="327" t="s">
        <v>91</v>
      </c>
      <c r="AI4" s="327" t="s">
        <v>353</v>
      </c>
      <c r="AJ4" s="327" t="s">
        <v>334</v>
      </c>
      <c r="AK4" s="49" t="s">
        <v>342</v>
      </c>
      <c r="AL4" s="48" t="s">
        <v>342</v>
      </c>
    </row>
    <row r="5" spans="1:38">
      <c r="A5" s="53"/>
      <c r="N5" s="53"/>
    </row>
    <row r="6" spans="1:38">
      <c r="A6" s="53" t="s">
        <v>170</v>
      </c>
      <c r="B6" s="189">
        <v>42709</v>
      </c>
      <c r="C6" s="42"/>
      <c r="D6" s="24" t="s">
        <v>122</v>
      </c>
      <c r="E6" s="42"/>
      <c r="F6" s="73">
        <v>184575</v>
      </c>
      <c r="G6" s="73">
        <f>184575/26.125</f>
        <v>7065.0717703349283</v>
      </c>
      <c r="H6" s="198"/>
      <c r="I6" s="73">
        <v>2000</v>
      </c>
      <c r="J6" s="73"/>
      <c r="K6" s="73"/>
      <c r="L6" s="73"/>
      <c r="N6" s="53" t="s">
        <v>170</v>
      </c>
      <c r="O6" s="189">
        <v>42709</v>
      </c>
      <c r="P6" s="42"/>
      <c r="Q6" s="24" t="s">
        <v>122</v>
      </c>
      <c r="R6" s="42"/>
      <c r="S6" s="73">
        <v>206341</v>
      </c>
      <c r="T6" s="73">
        <v>7898.22</v>
      </c>
      <c r="U6" s="198"/>
      <c r="V6" s="73">
        <v>2000</v>
      </c>
      <c r="W6" s="73"/>
      <c r="X6" s="73"/>
      <c r="Y6" s="73">
        <v>10483.1</v>
      </c>
      <c r="Z6" s="53" t="s">
        <v>700</v>
      </c>
      <c r="AA6" s="189">
        <v>42709</v>
      </c>
      <c r="AB6" s="42"/>
      <c r="AC6" s="24" t="s">
        <v>122</v>
      </c>
      <c r="AD6" s="42"/>
      <c r="AE6" s="73">
        <v>212531.23</v>
      </c>
      <c r="AF6" s="73">
        <v>8195.17</v>
      </c>
      <c r="AG6" s="73"/>
      <c r="AH6" s="73">
        <v>2000</v>
      </c>
      <c r="AI6" s="73"/>
      <c r="AJ6" s="73"/>
      <c r="AK6" s="73">
        <v>4067.59</v>
      </c>
      <c r="AL6" s="73">
        <v>9135.17</v>
      </c>
    </row>
    <row r="7" spans="1:38">
      <c r="A7" s="53" t="s">
        <v>176</v>
      </c>
      <c r="B7" s="189">
        <v>36325</v>
      </c>
      <c r="C7" s="42"/>
      <c r="D7" s="24" t="s">
        <v>129</v>
      </c>
      <c r="E7" s="42"/>
      <c r="F7" s="73">
        <v>150000</v>
      </c>
      <c r="G7" s="73"/>
      <c r="H7" s="198"/>
      <c r="I7" s="73">
        <v>1750</v>
      </c>
      <c r="J7" s="73"/>
      <c r="K7" s="73"/>
      <c r="L7" s="73">
        <v>2756.4</v>
      </c>
      <c r="N7" s="53" t="s">
        <v>176</v>
      </c>
      <c r="O7" s="189">
        <v>36325</v>
      </c>
      <c r="P7" s="42"/>
      <c r="Q7" s="24" t="s">
        <v>129</v>
      </c>
      <c r="R7" s="42"/>
      <c r="S7" s="73">
        <v>168838.95</v>
      </c>
      <c r="T7" s="73">
        <v>6462.73</v>
      </c>
      <c r="U7" s="198"/>
      <c r="V7" s="73">
        <v>2000</v>
      </c>
      <c r="W7" s="73"/>
      <c r="X7" s="73"/>
      <c r="Y7" s="73">
        <v>9652.4699999999993</v>
      </c>
      <c r="Z7" s="53" t="s">
        <v>699</v>
      </c>
      <c r="AA7" s="189">
        <v>36325</v>
      </c>
      <c r="AB7" s="42"/>
      <c r="AC7" s="24" t="s">
        <v>129</v>
      </c>
      <c r="AD7" s="42"/>
      <c r="AE7" s="73">
        <v>173904.12</v>
      </c>
      <c r="AF7" s="73">
        <v>6656.61</v>
      </c>
      <c r="AG7" s="73"/>
      <c r="AH7" s="73">
        <v>2000</v>
      </c>
      <c r="AI7" s="73"/>
      <c r="AJ7" s="73"/>
      <c r="AK7" s="73">
        <v>3328.31</v>
      </c>
      <c r="AL7" s="73">
        <v>6656.61</v>
      </c>
    </row>
    <row r="8" spans="1:38">
      <c r="A8" s="53" t="s">
        <v>178</v>
      </c>
      <c r="B8" s="189">
        <v>35945</v>
      </c>
      <c r="C8" s="42"/>
      <c r="D8" s="24" t="s">
        <v>179</v>
      </c>
      <c r="E8" s="42">
        <v>3</v>
      </c>
      <c r="F8" s="73">
        <f>86893.4/2</f>
        <v>43446.7</v>
      </c>
      <c r="G8" s="73">
        <v>3333.08</v>
      </c>
      <c r="H8" s="198">
        <v>44.441099999999999</v>
      </c>
      <c r="I8" s="73">
        <v>1750</v>
      </c>
      <c r="J8" s="73">
        <f>3910.81/2</f>
        <v>1955.405</v>
      </c>
      <c r="K8" s="73">
        <v>17331.990000000002</v>
      </c>
      <c r="L8" s="73"/>
      <c r="N8" s="53"/>
      <c r="O8" s="189"/>
      <c r="P8" s="42"/>
      <c r="Q8" s="24" t="s">
        <v>179</v>
      </c>
      <c r="R8" s="42">
        <v>3</v>
      </c>
      <c r="S8" s="73">
        <v>95083.77</v>
      </c>
      <c r="T8" s="73">
        <v>3639.57</v>
      </c>
      <c r="U8" s="198">
        <v>48.53</v>
      </c>
      <c r="V8" s="73"/>
      <c r="W8" s="209">
        <v>4882.96</v>
      </c>
      <c r="X8" s="73"/>
      <c r="Y8" s="73"/>
      <c r="Z8" s="24" t="s">
        <v>698</v>
      </c>
      <c r="AA8" s="189">
        <v>41474</v>
      </c>
      <c r="AB8" s="42"/>
      <c r="AC8" s="24" t="s">
        <v>179</v>
      </c>
      <c r="AD8" s="42"/>
      <c r="AE8" s="73">
        <v>95245.06</v>
      </c>
      <c r="AF8" s="73">
        <v>3663.27</v>
      </c>
      <c r="AG8" s="73">
        <v>48.84</v>
      </c>
      <c r="AH8" s="73">
        <v>950</v>
      </c>
      <c r="AI8" s="209">
        <v>4882.96</v>
      </c>
      <c r="AJ8" s="73">
        <v>23809.5</v>
      </c>
      <c r="AK8" s="73">
        <v>1831.64</v>
      </c>
      <c r="AL8" s="73"/>
    </row>
    <row r="9" spans="1:38">
      <c r="A9" s="53" t="s">
        <v>175</v>
      </c>
      <c r="B9" s="189">
        <v>35267</v>
      </c>
      <c r="C9" s="42"/>
      <c r="D9" s="24" t="s">
        <v>167</v>
      </c>
      <c r="E9" s="42">
        <v>3</v>
      </c>
      <c r="F9" s="73">
        <v>77238.63</v>
      </c>
      <c r="G9" s="73">
        <v>2962.74</v>
      </c>
      <c r="H9" s="198">
        <v>39.5032</v>
      </c>
      <c r="I9" s="73">
        <v>1750</v>
      </c>
      <c r="J9" s="73">
        <v>3476.28</v>
      </c>
      <c r="K9" s="73">
        <v>19257.810000000001</v>
      </c>
      <c r="L9" s="73">
        <v>1264.0999999999999</v>
      </c>
      <c r="N9" s="53"/>
      <c r="O9" s="189"/>
      <c r="P9" s="42"/>
      <c r="R9" s="42"/>
      <c r="S9" s="73"/>
      <c r="T9" s="73"/>
      <c r="U9" s="198"/>
      <c r="V9" s="73"/>
      <c r="W9" s="73"/>
      <c r="X9" s="73"/>
      <c r="Y9" s="73"/>
      <c r="AA9" s="189"/>
      <c r="AB9" s="42"/>
      <c r="AD9" s="42"/>
      <c r="AE9" s="73"/>
      <c r="AF9" s="73"/>
      <c r="AG9" s="73"/>
      <c r="AH9" s="73"/>
      <c r="AI9" s="73"/>
      <c r="AJ9" s="73"/>
      <c r="AK9" s="73"/>
      <c r="AL9" s="73"/>
    </row>
    <row r="10" spans="1:38">
      <c r="A10" s="53" t="s">
        <v>177</v>
      </c>
      <c r="B10" s="189">
        <v>38341</v>
      </c>
      <c r="C10" s="42"/>
      <c r="D10" s="24" t="s">
        <v>167</v>
      </c>
      <c r="E10" s="42">
        <v>3</v>
      </c>
      <c r="F10" s="73">
        <v>77238.63</v>
      </c>
      <c r="G10" s="73">
        <v>2962.74</v>
      </c>
      <c r="H10" s="198">
        <v>39.5032</v>
      </c>
      <c r="I10" s="73">
        <v>1000</v>
      </c>
      <c r="J10" s="73">
        <v>3476.28</v>
      </c>
      <c r="K10" s="73">
        <v>19257.810000000001</v>
      </c>
      <c r="L10" s="73">
        <v>1580.12</v>
      </c>
      <c r="N10" s="53" t="s">
        <v>177</v>
      </c>
      <c r="O10" s="189">
        <v>38341</v>
      </c>
      <c r="P10" s="42"/>
      <c r="Q10" s="24" t="s">
        <v>167</v>
      </c>
      <c r="R10" s="42">
        <v>3</v>
      </c>
      <c r="S10" s="73">
        <v>84715.54</v>
      </c>
      <c r="T10" s="73">
        <v>3242.7</v>
      </c>
      <c r="U10" s="198">
        <v>43.24</v>
      </c>
      <c r="V10" s="73">
        <v>1250</v>
      </c>
      <c r="W10" s="209">
        <v>4882.96</v>
      </c>
      <c r="X10" s="73">
        <v>21077.55</v>
      </c>
      <c r="Y10" s="73"/>
      <c r="Z10" s="24" t="s">
        <v>701</v>
      </c>
      <c r="AA10" s="189">
        <v>38341</v>
      </c>
      <c r="AB10" s="42"/>
      <c r="AC10" s="24" t="s">
        <v>167</v>
      </c>
      <c r="AD10" s="42">
        <v>3</v>
      </c>
      <c r="AE10" s="73">
        <v>84662.28</v>
      </c>
      <c r="AF10" s="73">
        <v>3256.24</v>
      </c>
      <c r="AG10" s="73">
        <v>43.24</v>
      </c>
      <c r="AH10" s="73">
        <v>2200</v>
      </c>
      <c r="AI10" s="209">
        <v>4882.96</v>
      </c>
      <c r="AJ10" s="73">
        <v>21165.57</v>
      </c>
      <c r="AK10" s="73"/>
      <c r="AL10" s="73"/>
    </row>
    <row r="11" spans="1:38">
      <c r="A11" s="53" t="s">
        <v>349</v>
      </c>
      <c r="B11" s="189">
        <v>41882</v>
      </c>
      <c r="C11" s="42"/>
      <c r="D11" s="24" t="s">
        <v>167</v>
      </c>
      <c r="E11" s="42">
        <v>3</v>
      </c>
      <c r="F11" s="73">
        <v>77238.633000000002</v>
      </c>
      <c r="G11" s="73">
        <v>2962.74</v>
      </c>
      <c r="H11" s="198">
        <v>39.5032</v>
      </c>
      <c r="I11" s="73">
        <v>500</v>
      </c>
      <c r="J11" s="73">
        <v>3476.28</v>
      </c>
      <c r="K11" s="73">
        <v>19257.810000000001</v>
      </c>
      <c r="L11" s="73"/>
      <c r="N11" s="53" t="s">
        <v>349</v>
      </c>
      <c r="O11" s="189">
        <v>41882</v>
      </c>
      <c r="P11" s="42"/>
      <c r="Q11" s="24" t="s">
        <v>167</v>
      </c>
      <c r="R11" s="42">
        <v>3</v>
      </c>
      <c r="S11" s="73">
        <v>84715.54</v>
      </c>
      <c r="T11" s="73">
        <v>3242.7</v>
      </c>
      <c r="U11" s="198">
        <v>43.24</v>
      </c>
      <c r="V11" s="73">
        <v>625</v>
      </c>
      <c r="W11" s="209">
        <v>4882.96</v>
      </c>
      <c r="X11" s="73">
        <v>21077.55</v>
      </c>
      <c r="Y11" s="73">
        <v>1621.35</v>
      </c>
      <c r="Z11" s="24" t="s">
        <v>702</v>
      </c>
      <c r="AA11" s="189">
        <v>41882</v>
      </c>
      <c r="AB11" s="42"/>
      <c r="AC11" s="24" t="s">
        <v>167</v>
      </c>
      <c r="AD11" s="42">
        <v>3</v>
      </c>
      <c r="AE11" s="73">
        <v>84662.28</v>
      </c>
      <c r="AF11" s="73">
        <v>3256.24</v>
      </c>
      <c r="AG11" s="73">
        <v>43.24</v>
      </c>
      <c r="AH11" s="73">
        <v>950</v>
      </c>
      <c r="AI11" s="209">
        <v>4882.96</v>
      </c>
      <c r="AJ11" s="73">
        <v>21165.57</v>
      </c>
      <c r="AK11" s="73">
        <v>1621.35</v>
      </c>
      <c r="AL11" s="73"/>
    </row>
    <row r="12" spans="1:38">
      <c r="A12" s="53" t="s">
        <v>177</v>
      </c>
      <c r="B12" s="189">
        <v>41037</v>
      </c>
      <c r="C12" s="42"/>
      <c r="D12" s="24" t="s">
        <v>167</v>
      </c>
      <c r="E12" s="42">
        <v>2</v>
      </c>
      <c r="F12" s="73">
        <v>77238.63</v>
      </c>
      <c r="G12" s="73">
        <v>2962.74</v>
      </c>
      <c r="H12" s="198">
        <v>39.5032</v>
      </c>
      <c r="I12" s="73">
        <v>500</v>
      </c>
      <c r="J12" s="73">
        <v>3476.28</v>
      </c>
      <c r="K12" s="73">
        <v>19257.810000000001</v>
      </c>
      <c r="L12" s="73">
        <v>1580.12</v>
      </c>
      <c r="N12" s="53" t="s">
        <v>177</v>
      </c>
      <c r="O12" s="189">
        <v>41037</v>
      </c>
      <c r="P12" s="42"/>
      <c r="Q12" s="24" t="s">
        <v>167</v>
      </c>
      <c r="R12" s="42">
        <v>3</v>
      </c>
      <c r="S12" s="73">
        <v>84715.54</v>
      </c>
      <c r="T12" s="73">
        <v>3242.7</v>
      </c>
      <c r="U12" s="198">
        <v>43.24</v>
      </c>
      <c r="V12" s="73">
        <v>950</v>
      </c>
      <c r="W12" s="209">
        <v>4882.96</v>
      </c>
      <c r="X12" s="73">
        <v>21077.55</v>
      </c>
      <c r="Y12" s="73">
        <v>1621.35</v>
      </c>
      <c r="Z12" s="24" t="s">
        <v>701</v>
      </c>
      <c r="AA12" s="189">
        <v>41037</v>
      </c>
      <c r="AB12" s="42"/>
      <c r="AC12" s="24" t="s">
        <v>167</v>
      </c>
      <c r="AD12" s="42">
        <v>3</v>
      </c>
      <c r="AE12" s="73">
        <v>84662.28</v>
      </c>
      <c r="AF12" s="73">
        <v>3256.24</v>
      </c>
      <c r="AG12" s="73">
        <v>43.24</v>
      </c>
      <c r="AH12" s="73">
        <v>950</v>
      </c>
      <c r="AI12" s="209">
        <v>4882.96</v>
      </c>
      <c r="AJ12" s="73">
        <v>21165.57</v>
      </c>
      <c r="AK12" s="73">
        <v>1621.35</v>
      </c>
      <c r="AL12" s="73"/>
    </row>
    <row r="13" spans="1:38">
      <c r="A13" s="53" t="s">
        <v>174</v>
      </c>
      <c r="B13" s="189">
        <v>37475</v>
      </c>
      <c r="C13" s="42"/>
      <c r="D13" s="24" t="s">
        <v>167</v>
      </c>
      <c r="E13" s="42">
        <v>2</v>
      </c>
      <c r="F13" s="73">
        <v>77238.63</v>
      </c>
      <c r="G13" s="73">
        <v>2962.74</v>
      </c>
      <c r="H13" s="198">
        <v>39.5032</v>
      </c>
      <c r="I13" s="73">
        <v>1000</v>
      </c>
      <c r="J13" s="73">
        <v>3476.28</v>
      </c>
      <c r="K13" s="73">
        <v>15447.73</v>
      </c>
      <c r="L13" s="73"/>
      <c r="N13" s="53" t="s">
        <v>174</v>
      </c>
      <c r="O13" s="189">
        <v>37475</v>
      </c>
      <c r="P13" s="42"/>
      <c r="Q13" s="24" t="s">
        <v>167</v>
      </c>
      <c r="R13" s="42">
        <v>3</v>
      </c>
      <c r="S13" s="73">
        <v>84715.54</v>
      </c>
      <c r="T13" s="73">
        <v>3242.7</v>
      </c>
      <c r="U13" s="198">
        <v>43.24</v>
      </c>
      <c r="V13" s="73">
        <v>2220</v>
      </c>
      <c r="W13" s="209">
        <v>4882.96</v>
      </c>
      <c r="X13" s="73">
        <v>16862.04</v>
      </c>
      <c r="Y13" s="73"/>
      <c r="Z13" s="24" t="s">
        <v>703</v>
      </c>
      <c r="AA13" s="189">
        <v>37475</v>
      </c>
      <c r="AB13" s="42"/>
      <c r="AC13" s="24" t="s">
        <v>167</v>
      </c>
      <c r="AD13" s="42">
        <v>3</v>
      </c>
      <c r="AE13" s="73">
        <v>84662.28</v>
      </c>
      <c r="AF13" s="73">
        <v>3256.24</v>
      </c>
      <c r="AG13" s="73">
        <v>43.24</v>
      </c>
      <c r="AH13" s="73">
        <v>2200</v>
      </c>
      <c r="AI13" s="209">
        <v>4882.96</v>
      </c>
      <c r="AJ13" s="73">
        <v>16932.46</v>
      </c>
      <c r="AK13" s="73"/>
      <c r="AL13" s="73"/>
    </row>
    <row r="14" spans="1:38">
      <c r="A14" s="53" t="s">
        <v>566</v>
      </c>
      <c r="B14" s="189">
        <v>43993</v>
      </c>
      <c r="C14" s="42"/>
      <c r="D14" s="24" t="s">
        <v>166</v>
      </c>
      <c r="E14" s="42">
        <v>1</v>
      </c>
      <c r="F14" s="73">
        <v>54104.37</v>
      </c>
      <c r="G14" s="73">
        <v>2075.25</v>
      </c>
      <c r="H14" s="198">
        <v>27.67</v>
      </c>
      <c r="I14" s="73">
        <v>0</v>
      </c>
      <c r="J14" s="73">
        <v>2434.96</v>
      </c>
      <c r="K14" s="73"/>
      <c r="L14" s="73"/>
      <c r="N14" s="53" t="s">
        <v>346</v>
      </c>
      <c r="O14" s="189">
        <v>41474</v>
      </c>
      <c r="P14" s="42"/>
      <c r="Q14" s="24" t="s">
        <v>167</v>
      </c>
      <c r="R14" s="42">
        <v>3</v>
      </c>
      <c r="S14" s="73">
        <v>84715.54</v>
      </c>
      <c r="T14" s="73">
        <v>3242.7</v>
      </c>
      <c r="U14" s="198">
        <v>43.24</v>
      </c>
      <c r="V14" s="73">
        <v>950</v>
      </c>
      <c r="W14" s="209">
        <v>4882.96</v>
      </c>
      <c r="X14" s="73">
        <v>21077.55</v>
      </c>
      <c r="Y14" s="73">
        <v>538.28</v>
      </c>
      <c r="Z14" s="24" t="s">
        <v>699</v>
      </c>
      <c r="AA14" s="189">
        <v>41607</v>
      </c>
      <c r="AB14" s="42"/>
      <c r="AC14" s="62" t="s">
        <v>167</v>
      </c>
      <c r="AD14" s="57">
        <v>2</v>
      </c>
      <c r="AE14" s="204">
        <v>81420.639999999999</v>
      </c>
      <c r="AF14" s="204">
        <v>3131.56</v>
      </c>
      <c r="AG14" s="204">
        <v>41.75</v>
      </c>
      <c r="AH14" s="73">
        <v>950</v>
      </c>
      <c r="AI14" s="209">
        <v>4882.96</v>
      </c>
      <c r="AJ14" s="73">
        <v>20355.16</v>
      </c>
      <c r="AK14" s="73">
        <v>1565.78</v>
      </c>
      <c r="AL14" s="73"/>
    </row>
    <row r="15" spans="1:38">
      <c r="A15" s="53" t="s">
        <v>567</v>
      </c>
      <c r="B15" s="189">
        <v>44105</v>
      </c>
      <c r="C15" s="42"/>
      <c r="D15" s="24" t="s">
        <v>166</v>
      </c>
      <c r="E15" s="42">
        <v>1</v>
      </c>
      <c r="F15" s="73">
        <v>54104.37</v>
      </c>
      <c r="G15" s="73">
        <v>2075.25</v>
      </c>
      <c r="H15" s="198">
        <v>27.67</v>
      </c>
      <c r="I15" s="73">
        <v>0</v>
      </c>
      <c r="J15" s="73">
        <v>0</v>
      </c>
      <c r="K15" s="73"/>
      <c r="L15" s="73"/>
      <c r="N15" s="53" t="s">
        <v>566</v>
      </c>
      <c r="O15" s="189">
        <v>43993</v>
      </c>
      <c r="P15" s="42"/>
      <c r="Q15" s="24" t="s">
        <v>166</v>
      </c>
      <c r="R15" s="42">
        <v>3</v>
      </c>
      <c r="S15" s="73">
        <v>70890.97</v>
      </c>
      <c r="T15" s="73">
        <v>2713.53</v>
      </c>
      <c r="U15" s="198">
        <v>36.18</v>
      </c>
      <c r="V15" s="73"/>
      <c r="W15" s="73">
        <v>4882.96</v>
      </c>
      <c r="X15" s="73">
        <v>14110.38</v>
      </c>
      <c r="Y15" s="73"/>
      <c r="Z15" s="24" t="s">
        <v>704</v>
      </c>
      <c r="AA15" s="189">
        <v>43983</v>
      </c>
      <c r="AB15" s="42"/>
      <c r="AC15" s="24" t="s">
        <v>166</v>
      </c>
      <c r="AD15" s="42">
        <v>3</v>
      </c>
      <c r="AE15" s="73">
        <v>70551.899999999994</v>
      </c>
      <c r="AF15" s="73">
        <v>2713.53</v>
      </c>
      <c r="AG15" s="73">
        <v>36.18</v>
      </c>
      <c r="AH15" s="73">
        <v>0</v>
      </c>
      <c r="AI15" s="209">
        <v>4882.96</v>
      </c>
      <c r="AJ15" s="73">
        <v>14110.38</v>
      </c>
      <c r="AK15" s="73"/>
      <c r="AL15" s="73"/>
    </row>
    <row r="16" spans="1:38">
      <c r="A16" s="53" t="s">
        <v>168</v>
      </c>
      <c r="B16" s="189">
        <v>35130</v>
      </c>
      <c r="C16" s="42"/>
      <c r="D16" s="24" t="s">
        <v>166</v>
      </c>
      <c r="E16" s="42">
        <v>3</v>
      </c>
      <c r="F16" s="73">
        <v>64365.53</v>
      </c>
      <c r="G16" s="73">
        <v>2468.9499999999998</v>
      </c>
      <c r="H16" s="198">
        <v>32.9193</v>
      </c>
      <c r="I16" s="73">
        <v>1000</v>
      </c>
      <c r="J16" s="73">
        <v>2896.9</v>
      </c>
      <c r="K16" s="73"/>
      <c r="L16" s="73"/>
      <c r="N16" s="53" t="s">
        <v>567</v>
      </c>
      <c r="O16" s="189">
        <v>44105</v>
      </c>
      <c r="P16" s="42"/>
      <c r="Q16" s="24" t="s">
        <v>166</v>
      </c>
      <c r="R16" s="42">
        <v>1</v>
      </c>
      <c r="S16" s="73">
        <v>59871.46</v>
      </c>
      <c r="T16" s="73">
        <v>2291.73</v>
      </c>
      <c r="U16" s="198">
        <v>30.56</v>
      </c>
      <c r="V16" s="73"/>
      <c r="W16" s="73">
        <v>4882.96</v>
      </c>
      <c r="X16" s="73"/>
      <c r="Y16" s="73"/>
      <c r="Z16" s="24" t="s">
        <v>705</v>
      </c>
      <c r="AA16" s="189">
        <v>45197</v>
      </c>
      <c r="AB16" s="42"/>
      <c r="AC16" s="24" t="s">
        <v>166</v>
      </c>
      <c r="AD16" s="42">
        <v>2</v>
      </c>
      <c r="AE16" s="73">
        <v>65069.39</v>
      </c>
      <c r="AF16" s="73">
        <v>2502.67</v>
      </c>
      <c r="AG16" s="73">
        <v>33.369999999999997</v>
      </c>
      <c r="AH16" s="73">
        <v>0</v>
      </c>
      <c r="AI16" s="209">
        <v>4882.96</v>
      </c>
      <c r="AJ16" s="73">
        <v>13013.88</v>
      </c>
      <c r="AK16" s="73"/>
      <c r="AL16" s="73"/>
    </row>
    <row r="17" spans="1:38">
      <c r="A17" s="53" t="s">
        <v>169</v>
      </c>
      <c r="B17" s="189">
        <v>38948</v>
      </c>
      <c r="C17" s="42"/>
      <c r="D17" s="24" t="s">
        <v>166</v>
      </c>
      <c r="E17" s="42">
        <v>3</v>
      </c>
      <c r="F17" s="73">
        <v>64365.53</v>
      </c>
      <c r="G17" s="73">
        <v>2468.9499999999998</v>
      </c>
      <c r="H17" s="198">
        <v>32.9193</v>
      </c>
      <c r="I17" s="73">
        <v>750</v>
      </c>
      <c r="J17" s="73">
        <v>2896.9</v>
      </c>
      <c r="K17" s="73"/>
      <c r="L17" s="73"/>
      <c r="N17" s="53" t="s">
        <v>168</v>
      </c>
      <c r="O17" s="189">
        <v>35130</v>
      </c>
      <c r="P17" s="42"/>
      <c r="Q17" s="24" t="s">
        <v>166</v>
      </c>
      <c r="R17" s="42">
        <v>3</v>
      </c>
      <c r="S17" s="73">
        <v>70890.97</v>
      </c>
      <c r="T17" s="73">
        <v>2713.53</v>
      </c>
      <c r="U17" s="198">
        <v>36.18</v>
      </c>
      <c r="V17" s="73">
        <v>2600</v>
      </c>
      <c r="W17" s="73">
        <v>4882.96</v>
      </c>
      <c r="X17" s="73"/>
      <c r="Y17" s="73"/>
      <c r="Z17" s="24" t="s">
        <v>706</v>
      </c>
      <c r="AA17" s="189">
        <v>35130</v>
      </c>
      <c r="AB17" s="42"/>
      <c r="AC17" s="24" t="s">
        <v>166</v>
      </c>
      <c r="AD17" s="42">
        <v>3</v>
      </c>
      <c r="AE17" s="73">
        <v>70551.899999999994</v>
      </c>
      <c r="AF17" s="73">
        <v>2713.53</v>
      </c>
      <c r="AG17" s="73">
        <v>36.18</v>
      </c>
      <c r="AH17" s="73">
        <v>2600</v>
      </c>
      <c r="AI17" s="209">
        <v>4882.96</v>
      </c>
      <c r="AJ17" s="73">
        <v>0</v>
      </c>
      <c r="AK17" s="73"/>
      <c r="AL17" s="73"/>
    </row>
    <row r="18" spans="1:38">
      <c r="A18" s="53" t="s">
        <v>568</v>
      </c>
      <c r="B18" s="189">
        <v>36437</v>
      </c>
      <c r="C18" s="42"/>
      <c r="D18" s="24" t="s">
        <v>166</v>
      </c>
      <c r="E18" s="42">
        <v>1</v>
      </c>
      <c r="F18" s="73">
        <v>54104.37</v>
      </c>
      <c r="G18" s="73">
        <v>2075.25</v>
      </c>
      <c r="H18" s="198">
        <v>27.67</v>
      </c>
      <c r="I18" s="73">
        <v>0</v>
      </c>
      <c r="J18" s="73">
        <v>2656.2</v>
      </c>
      <c r="K18" s="73"/>
      <c r="L18" s="73"/>
      <c r="N18" s="53" t="s">
        <v>169</v>
      </c>
      <c r="O18" s="189">
        <v>38948</v>
      </c>
      <c r="P18" s="42"/>
      <c r="Q18" s="24" t="s">
        <v>166</v>
      </c>
      <c r="R18" s="42">
        <v>3</v>
      </c>
      <c r="S18" s="73">
        <v>70897.97</v>
      </c>
      <c r="T18" s="73">
        <v>2713.53</v>
      </c>
      <c r="U18" s="198">
        <v>36.18</v>
      </c>
      <c r="V18" s="73">
        <v>1250</v>
      </c>
      <c r="W18" s="73">
        <v>4882.96</v>
      </c>
      <c r="X18" s="73"/>
      <c r="Y18" s="73"/>
      <c r="Z18" s="24" t="s">
        <v>700</v>
      </c>
      <c r="AA18" s="189">
        <v>39134</v>
      </c>
      <c r="AB18" s="42"/>
      <c r="AC18" s="24" t="s">
        <v>166</v>
      </c>
      <c r="AD18" s="42">
        <v>3</v>
      </c>
      <c r="AE18" s="73">
        <v>70551.899999999994</v>
      </c>
      <c r="AF18" s="73">
        <v>2713.53</v>
      </c>
      <c r="AG18" s="73">
        <v>36.18</v>
      </c>
      <c r="AH18" s="73">
        <v>1250</v>
      </c>
      <c r="AI18" s="209">
        <v>4882.96</v>
      </c>
      <c r="AJ18" s="73">
        <v>0</v>
      </c>
      <c r="AK18" s="73"/>
      <c r="AL18" s="73"/>
    </row>
    <row r="19" spans="1:38">
      <c r="A19" s="53" t="s">
        <v>540</v>
      </c>
      <c r="B19" s="189">
        <v>39134</v>
      </c>
      <c r="C19" s="42"/>
      <c r="D19" s="24" t="s">
        <v>166</v>
      </c>
      <c r="E19" s="42">
        <v>3</v>
      </c>
      <c r="F19" s="73">
        <v>64365.53</v>
      </c>
      <c r="G19" s="73">
        <v>2468.9499999999998</v>
      </c>
      <c r="H19" s="198">
        <v>32.9193</v>
      </c>
      <c r="I19" s="73">
        <v>750</v>
      </c>
      <c r="J19" s="73">
        <v>2896.9</v>
      </c>
      <c r="K19" s="73"/>
      <c r="L19" s="73"/>
      <c r="N19" s="53" t="s">
        <v>568</v>
      </c>
      <c r="O19" s="189">
        <v>36437</v>
      </c>
      <c r="P19" s="42"/>
      <c r="Q19" s="24" t="s">
        <v>166</v>
      </c>
      <c r="R19" s="42">
        <v>1</v>
      </c>
      <c r="S19" s="73">
        <v>65382.25</v>
      </c>
      <c r="T19" s="73">
        <v>2502.67</v>
      </c>
      <c r="U19" s="198">
        <v>33.369999999999997</v>
      </c>
      <c r="V19" s="73"/>
      <c r="W19" s="73">
        <v>4882.96</v>
      </c>
      <c r="X19" s="73"/>
      <c r="Y19" s="73"/>
      <c r="Z19" s="24" t="s">
        <v>707</v>
      </c>
      <c r="AA19" s="189">
        <v>39276</v>
      </c>
      <c r="AB19" s="42"/>
      <c r="AC19" s="24" t="s">
        <v>166</v>
      </c>
      <c r="AD19" s="42">
        <v>3</v>
      </c>
      <c r="AE19" s="73">
        <v>70551.899999999994</v>
      </c>
      <c r="AF19" s="73">
        <v>2713.53</v>
      </c>
      <c r="AG19" s="73">
        <v>36.18</v>
      </c>
      <c r="AH19" s="73">
        <v>1250</v>
      </c>
      <c r="AI19" s="209">
        <v>4882.96</v>
      </c>
      <c r="AJ19" s="73">
        <v>14110.38</v>
      </c>
      <c r="AK19" s="73"/>
      <c r="AL19" s="73"/>
    </row>
    <row r="20" spans="1:38">
      <c r="A20" s="53" t="s">
        <v>171</v>
      </c>
      <c r="B20" s="189">
        <v>39276</v>
      </c>
      <c r="C20" s="42"/>
      <c r="D20" s="24" t="s">
        <v>166</v>
      </c>
      <c r="E20" s="42">
        <v>3</v>
      </c>
      <c r="F20" s="73">
        <v>64365.53</v>
      </c>
      <c r="G20" s="73">
        <v>2468.9499999999998</v>
      </c>
      <c r="H20" s="198">
        <v>32.9193</v>
      </c>
      <c r="I20" s="73">
        <v>750</v>
      </c>
      <c r="J20" s="73">
        <v>2896.9</v>
      </c>
      <c r="K20" s="73">
        <v>6419</v>
      </c>
      <c r="L20" s="73"/>
      <c r="N20" s="53" t="s">
        <v>540</v>
      </c>
      <c r="O20" s="189">
        <v>39134</v>
      </c>
      <c r="P20" s="42"/>
      <c r="Q20" s="24" t="s">
        <v>166</v>
      </c>
      <c r="R20" s="42">
        <v>3</v>
      </c>
      <c r="S20" s="73">
        <v>70890.97</v>
      </c>
      <c r="T20" s="73">
        <v>2713.53</v>
      </c>
      <c r="U20" s="198">
        <v>36.18</v>
      </c>
      <c r="V20" s="73">
        <v>1250</v>
      </c>
      <c r="W20" s="73">
        <v>4882.96</v>
      </c>
      <c r="X20" s="73"/>
      <c r="Y20" s="73"/>
      <c r="Z20" s="24" t="s">
        <v>708</v>
      </c>
      <c r="AA20" s="189">
        <v>36447</v>
      </c>
      <c r="AB20" s="42"/>
      <c r="AC20" s="24" t="s">
        <v>166</v>
      </c>
      <c r="AD20" s="42">
        <v>3</v>
      </c>
      <c r="AE20" s="73">
        <v>70551.899999999994</v>
      </c>
      <c r="AF20" s="73">
        <v>2713.53</v>
      </c>
      <c r="AG20" s="73">
        <v>36.18</v>
      </c>
      <c r="AH20" s="73">
        <v>2600</v>
      </c>
      <c r="AI20" s="209">
        <v>4882.96</v>
      </c>
      <c r="AJ20" s="73">
        <v>14110.38</v>
      </c>
      <c r="AK20" s="73"/>
      <c r="AL20" s="73"/>
    </row>
    <row r="21" spans="1:38">
      <c r="A21" s="53" t="s">
        <v>172</v>
      </c>
      <c r="B21" s="189">
        <v>36437</v>
      </c>
      <c r="C21" s="42"/>
      <c r="D21" s="24" t="s">
        <v>166</v>
      </c>
      <c r="E21" s="42">
        <v>3</v>
      </c>
      <c r="F21" s="73">
        <v>64365.53</v>
      </c>
      <c r="G21" s="73">
        <v>2468.9499999999998</v>
      </c>
      <c r="H21" s="198">
        <v>32.9193</v>
      </c>
      <c r="I21" s="73">
        <v>1750</v>
      </c>
      <c r="J21" s="73">
        <v>2896.9</v>
      </c>
      <c r="K21" s="73">
        <v>12838.61</v>
      </c>
      <c r="L21" s="73"/>
      <c r="N21" s="53" t="s">
        <v>171</v>
      </c>
      <c r="O21" s="189">
        <v>39276</v>
      </c>
      <c r="P21" s="42"/>
      <c r="Q21" s="24" t="s">
        <v>166</v>
      </c>
      <c r="R21" s="42">
        <v>3</v>
      </c>
      <c r="S21" s="73">
        <v>70890.97</v>
      </c>
      <c r="T21" s="73">
        <v>2713.53</v>
      </c>
      <c r="U21" s="198">
        <v>36.18</v>
      </c>
      <c r="V21" s="73">
        <v>1250</v>
      </c>
      <c r="W21" s="73">
        <v>4882.96</v>
      </c>
      <c r="X21" s="73">
        <v>14110.38</v>
      </c>
      <c r="Y21" s="73"/>
      <c r="Z21" s="24" t="s">
        <v>709</v>
      </c>
      <c r="AA21" s="189">
        <v>43993</v>
      </c>
      <c r="AB21" s="42"/>
      <c r="AC21" s="24" t="s">
        <v>166</v>
      </c>
      <c r="AD21" s="42">
        <v>3</v>
      </c>
      <c r="AE21" s="73">
        <v>70551.899999999994</v>
      </c>
      <c r="AF21" s="73">
        <v>2713.53</v>
      </c>
      <c r="AG21" s="73">
        <v>36.18</v>
      </c>
      <c r="AH21" s="73">
        <v>625</v>
      </c>
      <c r="AI21" s="209">
        <v>4882.96</v>
      </c>
      <c r="AJ21" s="73">
        <v>14110.38</v>
      </c>
      <c r="AK21" s="73"/>
      <c r="AL21" s="73"/>
    </row>
    <row r="22" spans="1:38">
      <c r="A22" s="53" t="s">
        <v>346</v>
      </c>
      <c r="B22" s="189">
        <v>41474</v>
      </c>
      <c r="C22" s="42"/>
      <c r="D22" s="24" t="s">
        <v>166</v>
      </c>
      <c r="E22" s="42">
        <v>3</v>
      </c>
      <c r="F22" s="73">
        <v>64365.53</v>
      </c>
      <c r="G22" s="73">
        <v>2468.9499999999998</v>
      </c>
      <c r="H22" s="198">
        <v>32.9193</v>
      </c>
      <c r="I22" s="73">
        <v>500</v>
      </c>
      <c r="J22" s="73">
        <v>2896.9</v>
      </c>
      <c r="K22" s="73">
        <v>16048.11</v>
      </c>
      <c r="L22" s="73">
        <v>1316.77</v>
      </c>
      <c r="N22" s="53" t="s">
        <v>172</v>
      </c>
      <c r="O22" s="189">
        <v>36437</v>
      </c>
      <c r="P22" s="42"/>
      <c r="Q22" s="24" t="s">
        <v>166</v>
      </c>
      <c r="R22" s="42">
        <v>3</v>
      </c>
      <c r="S22" s="73">
        <v>70890.97</v>
      </c>
      <c r="T22" s="73">
        <v>2713.53</v>
      </c>
      <c r="U22" s="198">
        <v>36.17</v>
      </c>
      <c r="V22" s="73">
        <v>2220</v>
      </c>
      <c r="W22" s="73">
        <v>4882.96</v>
      </c>
      <c r="X22" s="73">
        <v>14110.38</v>
      </c>
      <c r="Y22" s="73"/>
      <c r="Z22" s="24" t="s">
        <v>710</v>
      </c>
      <c r="AA22" s="189">
        <v>41882</v>
      </c>
      <c r="AB22" s="42"/>
      <c r="AC22" s="24" t="s">
        <v>166</v>
      </c>
      <c r="AD22" s="42">
        <v>3</v>
      </c>
      <c r="AE22" s="73">
        <v>70551.899999999994</v>
      </c>
      <c r="AF22" s="73">
        <v>2713.53</v>
      </c>
      <c r="AG22" s="73">
        <v>36.18</v>
      </c>
      <c r="AH22" s="73">
        <v>950</v>
      </c>
      <c r="AI22" s="209">
        <v>4882.96</v>
      </c>
      <c r="AJ22" s="73">
        <v>0</v>
      </c>
      <c r="AK22" s="73"/>
      <c r="AL22" s="73"/>
    </row>
    <row r="23" spans="1:38">
      <c r="A23" s="53" t="s">
        <v>569</v>
      </c>
      <c r="B23" s="189">
        <v>43993</v>
      </c>
      <c r="C23" s="42"/>
      <c r="D23" s="24" t="s">
        <v>166</v>
      </c>
      <c r="E23" s="42">
        <v>1</v>
      </c>
      <c r="F23" s="73">
        <v>54104.37</v>
      </c>
      <c r="G23" s="73">
        <v>2075.25</v>
      </c>
      <c r="H23" s="198">
        <v>27.67</v>
      </c>
      <c r="I23" s="73">
        <v>0</v>
      </c>
      <c r="J23" s="73">
        <v>2434.96</v>
      </c>
      <c r="K23" s="73"/>
      <c r="L23" s="73"/>
      <c r="N23" s="53" t="s">
        <v>569</v>
      </c>
      <c r="O23" s="189">
        <v>43993</v>
      </c>
      <c r="P23" s="42"/>
      <c r="Q23" s="24" t="s">
        <v>166</v>
      </c>
      <c r="R23" s="42">
        <v>1</v>
      </c>
      <c r="S23" s="73">
        <v>70890.97</v>
      </c>
      <c r="T23" s="73">
        <v>2713.53</v>
      </c>
      <c r="U23" s="198">
        <v>36.18</v>
      </c>
      <c r="V23" s="73"/>
      <c r="W23" s="73">
        <v>4882.96</v>
      </c>
      <c r="X23" s="73">
        <v>14110.38</v>
      </c>
      <c r="Y23" s="73"/>
      <c r="Z23" s="24" t="s">
        <v>711</v>
      </c>
      <c r="AA23" s="189">
        <v>37089</v>
      </c>
      <c r="AB23" s="42"/>
      <c r="AC23" s="24" t="s">
        <v>166</v>
      </c>
      <c r="AD23" s="42">
        <v>3</v>
      </c>
      <c r="AE23" s="73">
        <v>70551.899999999994</v>
      </c>
      <c r="AF23" s="73">
        <v>2713.53</v>
      </c>
      <c r="AG23" s="73">
        <v>36.18</v>
      </c>
      <c r="AH23" s="73">
        <v>2200</v>
      </c>
      <c r="AI23" s="209">
        <v>4882.96</v>
      </c>
      <c r="AJ23" s="73">
        <v>14110.38</v>
      </c>
      <c r="AK23" s="73"/>
      <c r="AL23" s="73"/>
    </row>
    <row r="24" spans="1:38">
      <c r="A24" s="53" t="s">
        <v>113</v>
      </c>
      <c r="B24" s="189">
        <v>41882</v>
      </c>
      <c r="C24" s="42"/>
      <c r="D24" s="24" t="s">
        <v>166</v>
      </c>
      <c r="E24" s="42">
        <v>3</v>
      </c>
      <c r="F24" s="73">
        <v>64365.53</v>
      </c>
      <c r="G24" s="73">
        <v>2468.9499999999998</v>
      </c>
      <c r="H24" s="198">
        <v>32.9193</v>
      </c>
      <c r="I24" s="73">
        <v>500</v>
      </c>
      <c r="J24" s="73">
        <v>2896.9</v>
      </c>
      <c r="K24" s="73"/>
      <c r="L24" s="73"/>
      <c r="N24" s="53" t="s">
        <v>113</v>
      </c>
      <c r="O24" s="189">
        <v>41882</v>
      </c>
      <c r="P24" s="42"/>
      <c r="Q24" s="24" t="s">
        <v>166</v>
      </c>
      <c r="R24" s="42">
        <v>3</v>
      </c>
      <c r="S24" s="73">
        <v>70890.97</v>
      </c>
      <c r="T24" s="73">
        <v>2713.53</v>
      </c>
      <c r="U24" s="198">
        <v>36.18</v>
      </c>
      <c r="V24" s="73">
        <v>625</v>
      </c>
      <c r="W24" s="73">
        <v>4882.96</v>
      </c>
      <c r="X24" s="73"/>
      <c r="Y24" s="73"/>
      <c r="Z24" s="24" t="s">
        <v>712</v>
      </c>
      <c r="AA24" s="189">
        <v>43311</v>
      </c>
      <c r="AB24" s="42"/>
      <c r="AC24" s="24" t="s">
        <v>166</v>
      </c>
      <c r="AD24" s="42">
        <v>3</v>
      </c>
      <c r="AE24" s="73">
        <v>70551.899999999994</v>
      </c>
      <c r="AF24" s="73">
        <v>2713.53</v>
      </c>
      <c r="AG24" s="73">
        <v>36.18</v>
      </c>
      <c r="AH24" s="73">
        <v>625</v>
      </c>
      <c r="AI24" s="209">
        <v>4882.96</v>
      </c>
      <c r="AJ24" s="73">
        <v>0</v>
      </c>
      <c r="AK24" s="73"/>
      <c r="AL24" s="73"/>
    </row>
    <row r="25" spans="1:38">
      <c r="A25" s="53" t="s">
        <v>106</v>
      </c>
      <c r="B25" s="189">
        <v>37089</v>
      </c>
      <c r="C25" s="42"/>
      <c r="D25" s="24" t="s">
        <v>166</v>
      </c>
      <c r="E25" s="42">
        <v>3</v>
      </c>
      <c r="F25" s="73">
        <v>64365.53</v>
      </c>
      <c r="G25" s="73">
        <v>2468.9499999999998</v>
      </c>
      <c r="H25" s="198">
        <v>32.9193</v>
      </c>
      <c r="I25" s="73">
        <v>1750</v>
      </c>
      <c r="J25" s="73">
        <v>2896.9</v>
      </c>
      <c r="K25" s="73">
        <v>12838.61</v>
      </c>
      <c r="L25" s="73"/>
      <c r="N25" s="53" t="s">
        <v>106</v>
      </c>
      <c r="O25" s="189">
        <v>37089</v>
      </c>
      <c r="P25" s="42"/>
      <c r="Q25" s="24" t="s">
        <v>166</v>
      </c>
      <c r="R25" s="42">
        <v>3</v>
      </c>
      <c r="S25" s="73">
        <v>70890.97</v>
      </c>
      <c r="T25" s="73">
        <v>2713.53</v>
      </c>
      <c r="U25" s="198">
        <v>36.18</v>
      </c>
      <c r="V25" s="73">
        <v>2220</v>
      </c>
      <c r="W25" s="73">
        <v>4882.96</v>
      </c>
      <c r="X25" s="73">
        <v>14110.38</v>
      </c>
      <c r="Y25" s="73"/>
      <c r="Z25" s="24" t="s">
        <v>713</v>
      </c>
      <c r="AA25" s="189">
        <v>42545</v>
      </c>
      <c r="AB25" s="42"/>
      <c r="AC25" s="24" t="s">
        <v>166</v>
      </c>
      <c r="AD25" s="42">
        <v>3</v>
      </c>
      <c r="AE25" s="73">
        <v>70551.899999999994</v>
      </c>
      <c r="AF25" s="73">
        <v>2713.53</v>
      </c>
      <c r="AG25" s="73">
        <v>36.18</v>
      </c>
      <c r="AH25" s="73">
        <v>625</v>
      </c>
      <c r="AI25" s="209">
        <v>4882.96</v>
      </c>
      <c r="AJ25" s="73">
        <v>14110.38</v>
      </c>
      <c r="AK25" s="73">
        <v>1356.77</v>
      </c>
      <c r="AL25" s="73"/>
    </row>
    <row r="26" spans="1:38">
      <c r="A26" s="53" t="s">
        <v>106</v>
      </c>
      <c r="B26" s="189">
        <v>43311</v>
      </c>
      <c r="C26" s="42"/>
      <c r="D26" s="24" t="s">
        <v>166</v>
      </c>
      <c r="E26" s="42">
        <v>3</v>
      </c>
      <c r="F26" s="73">
        <v>64365.53</v>
      </c>
      <c r="G26" s="73">
        <v>2468.9499999999998</v>
      </c>
      <c r="H26" s="198">
        <v>32.9193</v>
      </c>
      <c r="I26" s="73">
        <v>0</v>
      </c>
      <c r="J26" s="73">
        <v>2896.9</v>
      </c>
      <c r="K26" s="73"/>
      <c r="L26" s="73"/>
      <c r="N26" s="53" t="s">
        <v>106</v>
      </c>
      <c r="O26" s="189">
        <v>43311</v>
      </c>
      <c r="P26" s="42"/>
      <c r="Q26" s="24" t="s">
        <v>166</v>
      </c>
      <c r="R26" s="42">
        <v>3</v>
      </c>
      <c r="S26" s="73">
        <v>70890.97</v>
      </c>
      <c r="T26" s="73">
        <v>2713.53</v>
      </c>
      <c r="U26" s="198">
        <v>36.18</v>
      </c>
      <c r="V26" s="73">
        <v>625</v>
      </c>
      <c r="W26" s="73">
        <v>4882.96</v>
      </c>
      <c r="X26" s="73"/>
      <c r="Y26" s="73"/>
      <c r="Z26" s="24" t="s">
        <v>714</v>
      </c>
      <c r="AA26" s="189">
        <v>42545</v>
      </c>
      <c r="AB26" s="42"/>
      <c r="AC26" s="24" t="s">
        <v>166</v>
      </c>
      <c r="AD26" s="42">
        <v>3</v>
      </c>
      <c r="AE26" s="73">
        <v>70551.899999999994</v>
      </c>
      <c r="AF26" s="73">
        <v>2713.53</v>
      </c>
      <c r="AG26" s="73">
        <v>36.18</v>
      </c>
      <c r="AH26" s="73">
        <v>950</v>
      </c>
      <c r="AI26" s="209">
        <v>4882.96</v>
      </c>
      <c r="AJ26" s="73">
        <v>17637.98</v>
      </c>
      <c r="AK26" s="73">
        <v>1356.77</v>
      </c>
      <c r="AL26" s="73"/>
    </row>
    <row r="27" spans="1:38" ht="15" customHeight="1">
      <c r="A27" s="53" t="s">
        <v>347</v>
      </c>
      <c r="B27" s="189">
        <v>42545</v>
      </c>
      <c r="C27" s="42"/>
      <c r="D27" s="24" t="s">
        <v>166</v>
      </c>
      <c r="E27" s="42">
        <v>3</v>
      </c>
      <c r="F27" s="73">
        <v>64365.53</v>
      </c>
      <c r="G27" s="73">
        <v>2468.9499999999998</v>
      </c>
      <c r="H27" s="198">
        <v>32.9193</v>
      </c>
      <c r="I27" s="73">
        <v>500</v>
      </c>
      <c r="J27" s="73">
        <v>2896.9</v>
      </c>
      <c r="K27" s="73">
        <v>6419</v>
      </c>
      <c r="L27" s="73"/>
      <c r="N27" s="53" t="s">
        <v>347</v>
      </c>
      <c r="O27" s="189">
        <v>42545</v>
      </c>
      <c r="P27" s="42"/>
      <c r="Q27" s="24" t="s">
        <v>166</v>
      </c>
      <c r="R27" s="42">
        <v>3</v>
      </c>
      <c r="S27" s="73">
        <v>70890.97</v>
      </c>
      <c r="T27" s="73">
        <v>2713.53</v>
      </c>
      <c r="U27" s="198">
        <v>36.18</v>
      </c>
      <c r="V27" s="73">
        <v>625</v>
      </c>
      <c r="W27" s="73">
        <v>4882.96</v>
      </c>
      <c r="X27" s="73">
        <v>14110.38</v>
      </c>
      <c r="Y27" s="73">
        <v>903.6</v>
      </c>
      <c r="Z27" s="24" t="s">
        <v>715</v>
      </c>
      <c r="AA27" s="189">
        <v>42215</v>
      </c>
      <c r="AB27" s="42"/>
      <c r="AC27" s="24" t="s">
        <v>166</v>
      </c>
      <c r="AD27" s="42">
        <v>3</v>
      </c>
      <c r="AE27" s="73">
        <v>70551.899999999994</v>
      </c>
      <c r="AF27" s="73">
        <v>2713.53</v>
      </c>
      <c r="AG27" s="73">
        <v>36.18</v>
      </c>
      <c r="AH27" s="73">
        <v>625</v>
      </c>
      <c r="AI27" s="209">
        <v>4882.96</v>
      </c>
      <c r="AJ27" s="73">
        <v>17637.98</v>
      </c>
      <c r="AK27" s="73"/>
      <c r="AL27" s="73"/>
    </row>
    <row r="28" spans="1:38">
      <c r="A28" s="53" t="s">
        <v>348</v>
      </c>
      <c r="B28" s="189">
        <v>41380</v>
      </c>
      <c r="C28" s="42"/>
      <c r="D28" s="24" t="s">
        <v>166</v>
      </c>
      <c r="E28" s="42">
        <v>3</v>
      </c>
      <c r="F28" s="73">
        <v>64365.53</v>
      </c>
      <c r="G28" s="73">
        <v>2468.9499999999998</v>
      </c>
      <c r="H28" s="198">
        <v>32.9193</v>
      </c>
      <c r="I28" s="73">
        <v>500</v>
      </c>
      <c r="J28" s="73">
        <v>2896.9</v>
      </c>
      <c r="K28" s="73">
        <v>16048.11</v>
      </c>
      <c r="L28" s="73"/>
      <c r="N28" s="53" t="s">
        <v>348</v>
      </c>
      <c r="O28" s="189">
        <v>41380</v>
      </c>
      <c r="P28" s="42"/>
      <c r="Q28" s="24" t="s">
        <v>166</v>
      </c>
      <c r="R28" s="42">
        <v>3</v>
      </c>
      <c r="S28" s="73">
        <v>70890.97</v>
      </c>
      <c r="T28" s="73">
        <v>2713.53</v>
      </c>
      <c r="U28" s="198">
        <v>36.17</v>
      </c>
      <c r="V28" s="73">
        <v>950</v>
      </c>
      <c r="W28" s="73">
        <v>4882.96</v>
      </c>
      <c r="X28" s="73">
        <v>17637.98</v>
      </c>
      <c r="Y28" s="73">
        <v>903.6</v>
      </c>
      <c r="Z28" s="24" t="s">
        <v>716</v>
      </c>
      <c r="AA28" s="189">
        <v>42307</v>
      </c>
      <c r="AB28" s="42"/>
      <c r="AC28" s="24" t="s">
        <v>166</v>
      </c>
      <c r="AD28" s="42">
        <v>3</v>
      </c>
      <c r="AE28" s="73">
        <v>70551.899999999994</v>
      </c>
      <c r="AF28" s="73">
        <v>2713.53</v>
      </c>
      <c r="AG28" s="73">
        <v>36.18</v>
      </c>
      <c r="AH28" s="73">
        <v>625</v>
      </c>
      <c r="AI28" s="209">
        <v>4882.96</v>
      </c>
      <c r="AJ28" s="73">
        <v>14110.8</v>
      </c>
      <c r="AK28" s="73"/>
      <c r="AL28" s="73"/>
    </row>
    <row r="29" spans="1:38">
      <c r="A29" s="53" t="s">
        <v>479</v>
      </c>
      <c r="B29" s="189">
        <v>43311</v>
      </c>
      <c r="C29" s="42"/>
      <c r="D29" s="24" t="s">
        <v>166</v>
      </c>
      <c r="E29" s="42">
        <v>3</v>
      </c>
      <c r="F29" s="73">
        <v>64365.53</v>
      </c>
      <c r="G29" s="73">
        <v>2468.9499999999998</v>
      </c>
      <c r="H29" s="198">
        <v>32.9193</v>
      </c>
      <c r="I29" s="73">
        <v>0</v>
      </c>
      <c r="J29" s="73">
        <v>2896.9</v>
      </c>
      <c r="K29" s="73"/>
      <c r="L29" s="73"/>
      <c r="N29" s="53" t="s">
        <v>479</v>
      </c>
      <c r="O29" s="189">
        <v>43311</v>
      </c>
      <c r="P29" s="42"/>
      <c r="Q29" s="24" t="s">
        <v>166</v>
      </c>
      <c r="R29" s="42">
        <v>3</v>
      </c>
      <c r="S29" s="73">
        <v>70890.97</v>
      </c>
      <c r="T29" s="73">
        <v>2713.53</v>
      </c>
      <c r="U29" s="198">
        <v>36.18</v>
      </c>
      <c r="V29" s="73">
        <v>625</v>
      </c>
      <c r="W29" s="73">
        <v>4882.96</v>
      </c>
      <c r="X29" s="73">
        <v>17637.98</v>
      </c>
      <c r="Y29" s="73"/>
      <c r="Z29" s="24" t="s">
        <v>717</v>
      </c>
      <c r="AA29" s="189">
        <v>43993</v>
      </c>
      <c r="AB29" s="42"/>
      <c r="AC29" s="24" t="s">
        <v>166</v>
      </c>
      <c r="AD29" s="42">
        <v>3</v>
      </c>
      <c r="AE29" s="73">
        <v>70551.899999999994</v>
      </c>
      <c r="AF29" s="73">
        <v>2713.53</v>
      </c>
      <c r="AG29" s="73">
        <v>36.18</v>
      </c>
      <c r="AH29" s="73">
        <v>625</v>
      </c>
      <c r="AI29" s="209">
        <v>4882.96</v>
      </c>
      <c r="AJ29" s="73">
        <v>14110.38</v>
      </c>
      <c r="AK29" s="73"/>
      <c r="AL29" s="73"/>
    </row>
    <row r="30" spans="1:38">
      <c r="A30" s="53" t="s">
        <v>541</v>
      </c>
      <c r="B30" s="189">
        <v>42307</v>
      </c>
      <c r="C30" s="42"/>
      <c r="D30" s="24" t="s">
        <v>166</v>
      </c>
      <c r="E30" s="42">
        <v>3</v>
      </c>
      <c r="F30" s="73">
        <v>64365.53</v>
      </c>
      <c r="G30" s="73">
        <v>2468.9499999999998</v>
      </c>
      <c r="H30" s="198">
        <v>32.9193</v>
      </c>
      <c r="I30" s="73">
        <v>500</v>
      </c>
      <c r="J30" s="73">
        <v>2896.9</v>
      </c>
      <c r="K30" s="73">
        <v>12586.83</v>
      </c>
      <c r="L30" s="73"/>
      <c r="N30" s="53" t="s">
        <v>541</v>
      </c>
      <c r="O30" s="189">
        <v>42307</v>
      </c>
      <c r="P30" s="42"/>
      <c r="Q30" s="24" t="s">
        <v>166</v>
      </c>
      <c r="R30" s="42">
        <v>3</v>
      </c>
      <c r="S30" s="73">
        <v>70890.97</v>
      </c>
      <c r="T30" s="73">
        <v>2713.53</v>
      </c>
      <c r="U30" s="198">
        <v>36.18</v>
      </c>
      <c r="V30" s="73">
        <v>625</v>
      </c>
      <c r="W30" s="73">
        <v>4882.96</v>
      </c>
      <c r="X30" s="73">
        <v>14110.38</v>
      </c>
      <c r="Y30" s="73">
        <v>90.45</v>
      </c>
      <c r="Z30" s="24" t="s">
        <v>718</v>
      </c>
      <c r="AA30" s="189">
        <v>41037</v>
      </c>
      <c r="AB30" s="42"/>
      <c r="AC30" s="24" t="s">
        <v>166</v>
      </c>
      <c r="AD30" s="42">
        <v>3</v>
      </c>
      <c r="AE30" s="73">
        <v>70551.899999999994</v>
      </c>
      <c r="AF30" s="73">
        <v>2713.53</v>
      </c>
      <c r="AG30" s="73">
        <v>36.18</v>
      </c>
      <c r="AH30" s="73">
        <v>950</v>
      </c>
      <c r="AI30" s="209">
        <v>4882.96</v>
      </c>
      <c r="AJ30" s="73">
        <v>17637.98</v>
      </c>
      <c r="AK30" s="73">
        <v>271.35000000000002</v>
      </c>
      <c r="AL30" s="73"/>
    </row>
    <row r="31" spans="1:38">
      <c r="A31" s="53" t="s">
        <v>176</v>
      </c>
      <c r="B31" s="189">
        <v>41607</v>
      </c>
      <c r="C31" s="42"/>
      <c r="D31" s="24" t="s">
        <v>166</v>
      </c>
      <c r="E31" s="42">
        <v>3</v>
      </c>
      <c r="F31" s="73">
        <v>64365.53</v>
      </c>
      <c r="G31" s="73">
        <v>2468.9499999999998</v>
      </c>
      <c r="H31" s="198">
        <v>32.9193</v>
      </c>
      <c r="I31" s="73">
        <v>500</v>
      </c>
      <c r="J31" s="73">
        <v>2896.9</v>
      </c>
      <c r="K31" s="73">
        <v>16048.11</v>
      </c>
      <c r="L31" s="73"/>
      <c r="N31" s="53" t="s">
        <v>176</v>
      </c>
      <c r="O31" s="189">
        <v>41607</v>
      </c>
      <c r="P31" s="42"/>
      <c r="Q31" s="24" t="s">
        <v>166</v>
      </c>
      <c r="R31" s="42">
        <v>3</v>
      </c>
      <c r="S31" s="73">
        <v>70890.97</v>
      </c>
      <c r="T31" s="73">
        <v>2713.53</v>
      </c>
      <c r="U31" s="198">
        <v>36.18</v>
      </c>
      <c r="V31" s="73">
        <v>950</v>
      </c>
      <c r="W31" s="73">
        <v>4882.96</v>
      </c>
      <c r="X31" s="73">
        <v>17637.98</v>
      </c>
      <c r="Y31" s="73">
        <v>90.45</v>
      </c>
      <c r="Z31" s="24" t="s">
        <v>719</v>
      </c>
      <c r="AA31" s="189">
        <v>45197</v>
      </c>
      <c r="AB31" s="42"/>
      <c r="AC31" s="24" t="s">
        <v>166</v>
      </c>
      <c r="AD31" s="42">
        <v>2</v>
      </c>
      <c r="AE31" s="73">
        <v>65069.39</v>
      </c>
      <c r="AF31" s="73">
        <v>2502.67</v>
      </c>
      <c r="AG31" s="73">
        <v>33.369999999999997</v>
      </c>
      <c r="AH31" s="73">
        <v>0</v>
      </c>
      <c r="AI31" s="209">
        <v>4882.96</v>
      </c>
      <c r="AJ31" s="73">
        <v>13013.88</v>
      </c>
      <c r="AK31" s="73"/>
      <c r="AL31" s="73"/>
    </row>
    <row r="32" spans="1:38">
      <c r="A32" s="53" t="s">
        <v>575</v>
      </c>
      <c r="B32" s="189">
        <v>43993</v>
      </c>
      <c r="C32" s="42"/>
      <c r="D32" s="24" t="s">
        <v>166</v>
      </c>
      <c r="E32" s="42">
        <v>1</v>
      </c>
      <c r="F32" s="73">
        <v>54104.37</v>
      </c>
      <c r="G32" s="73">
        <v>2075.25</v>
      </c>
      <c r="H32" s="198">
        <v>27.67</v>
      </c>
      <c r="I32" s="73">
        <v>0</v>
      </c>
      <c r="J32" s="73">
        <v>2434.96</v>
      </c>
      <c r="K32" s="73"/>
      <c r="L32" s="73"/>
      <c r="N32" s="53" t="s">
        <v>575</v>
      </c>
      <c r="O32" s="189">
        <v>43993</v>
      </c>
      <c r="P32" s="42"/>
      <c r="Q32" s="24" t="s">
        <v>166</v>
      </c>
      <c r="R32" s="42">
        <v>2</v>
      </c>
      <c r="S32" s="73">
        <v>70890.97</v>
      </c>
      <c r="T32" s="73">
        <v>2713.53</v>
      </c>
      <c r="U32" s="198">
        <v>36.18</v>
      </c>
      <c r="V32" s="73"/>
      <c r="W32" s="73">
        <v>4882.96</v>
      </c>
      <c r="X32" s="73">
        <v>14110.38</v>
      </c>
      <c r="Y32" s="73"/>
      <c r="Z32" s="24" t="s">
        <v>593</v>
      </c>
      <c r="AA32" s="189"/>
      <c r="AB32" s="42"/>
      <c r="AC32" s="24" t="s">
        <v>166</v>
      </c>
      <c r="AD32" s="42">
        <v>1</v>
      </c>
      <c r="AE32" s="73">
        <v>59584.99</v>
      </c>
      <c r="AF32" s="73">
        <v>2291.73</v>
      </c>
      <c r="AG32" s="73">
        <v>30.56</v>
      </c>
      <c r="AH32" s="73">
        <v>0</v>
      </c>
      <c r="AI32" s="209">
        <v>4882.96</v>
      </c>
      <c r="AJ32" s="204"/>
      <c r="AK32" s="73"/>
      <c r="AL32" s="73"/>
    </row>
    <row r="33" spans="1:38">
      <c r="A33" s="53" t="s">
        <v>350</v>
      </c>
      <c r="B33" s="189">
        <v>41037</v>
      </c>
      <c r="C33" s="42"/>
      <c r="D33" s="24" t="s">
        <v>166</v>
      </c>
      <c r="E33" s="42">
        <v>3</v>
      </c>
      <c r="F33" s="73">
        <v>64365.53</v>
      </c>
      <c r="G33" s="73">
        <v>2468.9499999999998</v>
      </c>
      <c r="H33" s="198">
        <v>32.9193</v>
      </c>
      <c r="I33" s="73">
        <v>500</v>
      </c>
      <c r="J33" s="73">
        <v>2896.9</v>
      </c>
      <c r="K33" s="73">
        <v>16048.11</v>
      </c>
      <c r="L33" s="73"/>
      <c r="N33" s="53" t="s">
        <v>350</v>
      </c>
      <c r="O33" s="189">
        <v>41037</v>
      </c>
      <c r="P33" s="42"/>
      <c r="Q33" s="24" t="s">
        <v>166</v>
      </c>
      <c r="R33" s="42">
        <v>3</v>
      </c>
      <c r="S33" s="73">
        <v>70890.97</v>
      </c>
      <c r="T33" s="73">
        <v>2713.53</v>
      </c>
      <c r="U33" s="198">
        <v>36.18</v>
      </c>
      <c r="V33" s="73">
        <v>950</v>
      </c>
      <c r="W33" s="73">
        <v>4882.96</v>
      </c>
      <c r="X33" s="73">
        <v>17637.98</v>
      </c>
      <c r="Y33" s="73">
        <v>360.9</v>
      </c>
      <c r="Z33" s="24" t="s">
        <v>593</v>
      </c>
      <c r="AA33" s="189"/>
      <c r="AB33" s="42"/>
      <c r="AC33" s="24" t="s">
        <v>166</v>
      </c>
      <c r="AD33" s="42">
        <v>1</v>
      </c>
      <c r="AE33" s="73">
        <v>59584.99</v>
      </c>
      <c r="AF33" s="73">
        <v>2291.73</v>
      </c>
      <c r="AG33" s="73">
        <v>30.56</v>
      </c>
      <c r="AH33" s="73">
        <v>0</v>
      </c>
      <c r="AI33" s="209">
        <v>4882.96</v>
      </c>
      <c r="AJ33" s="204"/>
      <c r="AK33" s="73"/>
      <c r="AL33" s="73"/>
    </row>
    <row r="34" spans="1:38">
      <c r="A34" s="53" t="s">
        <v>576</v>
      </c>
      <c r="B34" s="189">
        <v>44105</v>
      </c>
      <c r="C34" s="42"/>
      <c r="D34" s="24" t="s">
        <v>166</v>
      </c>
      <c r="E34" s="42">
        <v>1</v>
      </c>
      <c r="F34" s="73">
        <v>54104.37</v>
      </c>
      <c r="G34" s="73">
        <v>2075.25</v>
      </c>
      <c r="H34" s="198">
        <v>27.67</v>
      </c>
      <c r="I34" s="73">
        <v>0</v>
      </c>
      <c r="J34" s="73">
        <v>0</v>
      </c>
      <c r="K34" s="73"/>
      <c r="L34" s="73"/>
      <c r="N34" s="53" t="s">
        <v>576</v>
      </c>
      <c r="O34" s="189">
        <v>44105</v>
      </c>
      <c r="P34" s="42"/>
      <c r="Q34" s="24" t="s">
        <v>166</v>
      </c>
      <c r="R34" s="42">
        <v>1</v>
      </c>
      <c r="S34" s="73">
        <v>59871.45</v>
      </c>
      <c r="T34" s="73">
        <v>2291.73</v>
      </c>
      <c r="U34" s="198">
        <v>30.56</v>
      </c>
      <c r="V34" s="73"/>
      <c r="W34" s="73">
        <v>4882.96</v>
      </c>
      <c r="X34" s="73"/>
      <c r="Y34" s="73"/>
      <c r="Z34" s="24" t="s">
        <v>593</v>
      </c>
      <c r="AA34" s="189"/>
      <c r="AB34" s="42"/>
      <c r="AC34" s="24" t="s">
        <v>166</v>
      </c>
      <c r="AD34" s="42">
        <v>1</v>
      </c>
      <c r="AE34" s="73">
        <v>59584.99</v>
      </c>
      <c r="AF34" s="73">
        <v>2291.73</v>
      </c>
      <c r="AG34" s="73">
        <v>30.56</v>
      </c>
      <c r="AH34" s="73">
        <v>0</v>
      </c>
      <c r="AI34" s="209">
        <v>4882.96</v>
      </c>
      <c r="AJ34" s="204"/>
      <c r="AK34" s="73"/>
      <c r="AL34" s="73"/>
    </row>
    <row r="35" spans="1:38">
      <c r="A35" s="53" t="s">
        <v>577</v>
      </c>
      <c r="B35" s="189" t="s">
        <v>578</v>
      </c>
      <c r="C35" s="42"/>
      <c r="D35" s="24" t="s">
        <v>166</v>
      </c>
      <c r="E35" s="42">
        <v>1</v>
      </c>
      <c r="F35" s="73">
        <v>54104.37</v>
      </c>
      <c r="G35" s="73">
        <v>2075.25</v>
      </c>
      <c r="H35" s="198">
        <v>27.67</v>
      </c>
      <c r="I35" s="73">
        <v>0</v>
      </c>
      <c r="J35" s="73">
        <v>0</v>
      </c>
      <c r="K35" s="73"/>
      <c r="L35" s="73"/>
      <c r="N35" s="53" t="s">
        <v>577</v>
      </c>
      <c r="O35" s="189">
        <v>43290</v>
      </c>
      <c r="P35" s="42"/>
      <c r="Q35" s="24" t="s">
        <v>166</v>
      </c>
      <c r="R35" s="42">
        <v>1</v>
      </c>
      <c r="S35" s="73">
        <v>59871.45</v>
      </c>
      <c r="T35" s="73">
        <v>2291.73</v>
      </c>
      <c r="U35" s="198">
        <v>30.56</v>
      </c>
      <c r="V35" s="73"/>
      <c r="W35" s="73">
        <v>4882.96</v>
      </c>
      <c r="X35" s="73"/>
      <c r="Y35" s="73"/>
      <c r="Z35" s="24" t="s">
        <v>593</v>
      </c>
      <c r="AA35" s="189"/>
      <c r="AB35" s="42"/>
      <c r="AC35" s="24" t="s">
        <v>166</v>
      </c>
      <c r="AD35" s="42">
        <v>1</v>
      </c>
      <c r="AE35" s="73">
        <v>59584.99</v>
      </c>
      <c r="AF35" s="73">
        <v>2291.73</v>
      </c>
      <c r="AG35" s="73">
        <v>30.56</v>
      </c>
      <c r="AH35" s="73">
        <v>0</v>
      </c>
      <c r="AI35" s="209">
        <v>4882.96</v>
      </c>
      <c r="AJ35" s="204"/>
      <c r="AK35" s="73"/>
      <c r="AL35" s="73"/>
    </row>
    <row r="36" spans="1:38">
      <c r="A36" s="53" t="s">
        <v>570</v>
      </c>
      <c r="B36" s="189">
        <v>36822</v>
      </c>
      <c r="C36" s="42"/>
      <c r="D36" s="24" t="s">
        <v>423</v>
      </c>
      <c r="E36" s="42"/>
      <c r="F36" s="73">
        <v>36781.22</v>
      </c>
      <c r="G36" s="73">
        <v>1410.86</v>
      </c>
      <c r="H36" s="198">
        <v>17.6358</v>
      </c>
      <c r="I36" s="73">
        <v>300</v>
      </c>
      <c r="J36" s="73">
        <v>0</v>
      </c>
      <c r="K36" s="73"/>
      <c r="L36" s="73"/>
      <c r="N36" s="53" t="s">
        <v>615</v>
      </c>
      <c r="O36" s="189"/>
      <c r="P36" s="42"/>
      <c r="Q36" s="24" t="s">
        <v>374</v>
      </c>
      <c r="R36" s="42">
        <v>1</v>
      </c>
      <c r="S36" s="73">
        <v>47108.6</v>
      </c>
      <c r="T36" s="73">
        <v>1803.2</v>
      </c>
      <c r="U36" s="198">
        <v>22.54</v>
      </c>
      <c r="V36" s="73"/>
      <c r="W36" s="73"/>
      <c r="X36" s="73"/>
      <c r="Y36" s="73"/>
      <c r="Z36" s="24" t="s">
        <v>593</v>
      </c>
      <c r="AA36" s="189"/>
      <c r="AB36" s="42"/>
      <c r="AC36" s="24" t="s">
        <v>166</v>
      </c>
      <c r="AD36" s="42">
        <v>1</v>
      </c>
      <c r="AE36" s="73">
        <v>59584.99</v>
      </c>
      <c r="AF36" s="73">
        <v>2291.73</v>
      </c>
      <c r="AG36" s="73">
        <v>30.56</v>
      </c>
      <c r="AH36" s="73">
        <v>0</v>
      </c>
      <c r="AI36" s="209">
        <v>4882.96</v>
      </c>
      <c r="AJ36" s="204"/>
      <c r="AK36" s="73"/>
      <c r="AL36" s="73"/>
    </row>
    <row r="37" spans="1:38">
      <c r="A37" s="53" t="s">
        <v>103</v>
      </c>
      <c r="B37" s="189">
        <v>42529</v>
      </c>
      <c r="C37" s="42"/>
      <c r="D37" s="24" t="s">
        <v>352</v>
      </c>
      <c r="E37" s="42">
        <v>3</v>
      </c>
      <c r="F37" s="409">
        <f>62188-400*26</f>
        <v>51788</v>
      </c>
      <c r="G37" s="73">
        <v>2382.7199999999998</v>
      </c>
      <c r="H37" s="198">
        <v>29.8215</v>
      </c>
      <c r="I37" s="73">
        <v>300</v>
      </c>
      <c r="J37" s="73">
        <v>0</v>
      </c>
      <c r="K37" s="73"/>
      <c r="L37" s="73"/>
      <c r="N37" s="53" t="s">
        <v>615</v>
      </c>
      <c r="O37" s="189"/>
      <c r="P37" s="42"/>
      <c r="Q37" s="24" t="s">
        <v>423</v>
      </c>
      <c r="R37" s="42"/>
      <c r="S37" s="73">
        <v>47108.6</v>
      </c>
      <c r="T37" s="73">
        <v>1803.2</v>
      </c>
      <c r="U37" s="198">
        <v>22.54</v>
      </c>
      <c r="V37" s="73"/>
      <c r="W37" s="73"/>
      <c r="X37" s="73"/>
      <c r="Y37" s="73"/>
      <c r="Z37" s="24" t="s">
        <v>726</v>
      </c>
      <c r="AA37" s="189"/>
      <c r="AB37" s="42"/>
      <c r="AC37" s="24" t="s">
        <v>684</v>
      </c>
      <c r="AD37" s="42"/>
      <c r="AE37" s="73">
        <v>48521.86</v>
      </c>
      <c r="AF37" s="73">
        <v>1857.3</v>
      </c>
      <c r="AG37" s="73">
        <v>23.2163</v>
      </c>
      <c r="AH37" s="73">
        <v>0</v>
      </c>
      <c r="AI37" s="73"/>
      <c r="AJ37" s="73"/>
      <c r="AK37" s="73"/>
      <c r="AL37" s="73"/>
    </row>
    <row r="38" spans="1:38">
      <c r="A38" s="53" t="s">
        <v>173</v>
      </c>
      <c r="B38" s="189">
        <v>38726</v>
      </c>
      <c r="C38" s="42"/>
      <c r="D38" s="24" t="s">
        <v>95</v>
      </c>
      <c r="E38" s="42">
        <v>5</v>
      </c>
      <c r="F38" s="73">
        <v>57374.96</v>
      </c>
      <c r="G38" s="73">
        <v>2200.8000000000002</v>
      </c>
      <c r="H38" s="73">
        <v>31.44</v>
      </c>
      <c r="I38" s="73">
        <v>1450</v>
      </c>
      <c r="J38" s="73">
        <v>0</v>
      </c>
      <c r="K38" s="73"/>
      <c r="L38" s="73"/>
      <c r="N38" s="53" t="s">
        <v>103</v>
      </c>
      <c r="O38" s="189">
        <v>42529</v>
      </c>
      <c r="P38" s="42"/>
      <c r="Q38" s="24" t="s">
        <v>352</v>
      </c>
      <c r="R38" s="42">
        <v>3</v>
      </c>
      <c r="S38" s="209">
        <v>34422.300000000003</v>
      </c>
      <c r="T38" s="209">
        <v>1317.6</v>
      </c>
      <c r="U38" s="432">
        <v>32.94</v>
      </c>
      <c r="V38" s="73">
        <v>300</v>
      </c>
      <c r="W38" s="73"/>
      <c r="X38" s="73"/>
      <c r="Y38" s="73"/>
      <c r="Z38" s="24" t="s">
        <v>603</v>
      </c>
      <c r="AA38" s="189"/>
      <c r="AB38" s="42"/>
      <c r="AC38" s="24" t="s">
        <v>684</v>
      </c>
      <c r="AD38" s="42"/>
      <c r="AE38" s="209">
        <v>47395.4</v>
      </c>
      <c r="AF38" s="209">
        <v>1812.8</v>
      </c>
      <c r="AG38" s="209">
        <v>22.66</v>
      </c>
      <c r="AH38" s="73">
        <v>0</v>
      </c>
      <c r="AI38" s="73"/>
      <c r="AJ38" s="73"/>
      <c r="AK38" s="73"/>
      <c r="AL38" s="73"/>
    </row>
    <row r="39" spans="1:38">
      <c r="A39" s="338" t="s">
        <v>579</v>
      </c>
      <c r="F39" s="73">
        <v>-42500</v>
      </c>
      <c r="G39" s="73"/>
      <c r="L39" s="73"/>
      <c r="N39" s="53" t="s">
        <v>173</v>
      </c>
      <c r="O39" s="189">
        <v>38726</v>
      </c>
      <c r="P39" s="42"/>
      <c r="Q39" s="24" t="s">
        <v>95</v>
      </c>
      <c r="R39" s="42">
        <v>5</v>
      </c>
      <c r="S39" s="209">
        <v>67679.16</v>
      </c>
      <c r="T39" s="209">
        <v>2590.59</v>
      </c>
      <c r="U39" s="432">
        <v>37.01</v>
      </c>
      <c r="V39" s="73">
        <v>1450</v>
      </c>
      <c r="Y39" s="73"/>
      <c r="Z39" s="24" t="s">
        <v>723</v>
      </c>
      <c r="AA39" s="189">
        <v>42529</v>
      </c>
      <c r="AB39" s="42"/>
      <c r="AC39" s="24" t="s">
        <v>724</v>
      </c>
      <c r="AD39" s="42"/>
      <c r="AE39" s="209">
        <f>1324.99*26</f>
        <v>34449.74</v>
      </c>
      <c r="AF39" s="209">
        <v>1324.99</v>
      </c>
      <c r="AG39" s="209">
        <v>33.125</v>
      </c>
      <c r="AH39" s="73">
        <v>300</v>
      </c>
      <c r="AI39" s="73"/>
      <c r="AJ39" s="73"/>
      <c r="AK39" s="73"/>
      <c r="AL39" s="73"/>
    </row>
    <row r="40" spans="1:38">
      <c r="A40" s="338"/>
      <c r="F40" s="73"/>
      <c r="G40" s="73"/>
      <c r="L40" s="73"/>
      <c r="N40" s="53" t="s">
        <v>618</v>
      </c>
      <c r="O40" s="189">
        <v>44577</v>
      </c>
      <c r="P40" s="42"/>
      <c r="Q40" s="24" t="s">
        <v>619</v>
      </c>
      <c r="R40" s="42">
        <v>1</v>
      </c>
      <c r="S40" s="209">
        <v>34422.300000000003</v>
      </c>
      <c r="T40" s="209">
        <v>1317.6</v>
      </c>
      <c r="U40" s="432"/>
      <c r="V40" s="73"/>
      <c r="Y40" s="73"/>
      <c r="Z40" s="24" t="s">
        <v>722</v>
      </c>
      <c r="AA40" s="189">
        <v>38726</v>
      </c>
      <c r="AB40" s="42"/>
      <c r="AC40" s="24" t="s">
        <v>684</v>
      </c>
      <c r="AD40" s="42" t="s">
        <v>95</v>
      </c>
      <c r="AE40" s="400">
        <v>67679.16</v>
      </c>
      <c r="AF40" s="209">
        <v>2590.59</v>
      </c>
      <c r="AG40" s="209">
        <v>37.01</v>
      </c>
      <c r="AH40" s="73">
        <v>1450</v>
      </c>
      <c r="AI40" s="73"/>
      <c r="AJ40" s="73"/>
      <c r="AK40" s="73"/>
      <c r="AL40" s="73"/>
    </row>
    <row r="41" spans="1:38">
      <c r="A41" s="339"/>
      <c r="F41" s="6"/>
      <c r="G41" s="6"/>
      <c r="N41" s="338" t="s">
        <v>579</v>
      </c>
      <c r="S41" s="209">
        <v>-46500</v>
      </c>
      <c r="T41" s="209"/>
      <c r="U41" s="69"/>
      <c r="Z41" s="24" t="s">
        <v>721</v>
      </c>
      <c r="AA41" s="189">
        <v>44577</v>
      </c>
      <c r="AB41" s="42"/>
      <c r="AC41" s="24" t="s">
        <v>725</v>
      </c>
      <c r="AD41" s="42"/>
      <c r="AE41" s="400">
        <v>35455</v>
      </c>
      <c r="AF41" s="209">
        <v>1895.2</v>
      </c>
      <c r="AG41" s="209">
        <v>23.69</v>
      </c>
      <c r="AH41" s="73"/>
      <c r="AI41" s="73"/>
      <c r="AJ41" s="73"/>
      <c r="AK41" s="73"/>
      <c r="AL41" s="73"/>
    </row>
    <row r="42" spans="1:38">
      <c r="A42" s="339" t="s">
        <v>351</v>
      </c>
      <c r="F42" s="6"/>
      <c r="G42" s="6"/>
      <c r="H42" s="62"/>
      <c r="I42" s="62"/>
      <c r="N42" s="339"/>
      <c r="S42" s="15"/>
      <c r="T42" s="15"/>
      <c r="U42" s="70"/>
      <c r="V42" s="62"/>
      <c r="Z42" s="24" t="s">
        <v>720</v>
      </c>
      <c r="AE42" s="209">
        <v>-50000</v>
      </c>
      <c r="AF42" s="209"/>
      <c r="AG42" s="209"/>
      <c r="AH42" s="73"/>
      <c r="AI42" s="73"/>
      <c r="AJ42" s="73"/>
      <c r="AK42" s="73"/>
      <c r="AL42" s="73"/>
    </row>
    <row r="43" spans="1:38">
      <c r="A43" s="53" t="s">
        <v>45</v>
      </c>
      <c r="F43" s="302"/>
      <c r="G43" s="302">
        <f>ROUNDUP((F6),0)</f>
        <v>184575</v>
      </c>
      <c r="H43" s="62"/>
      <c r="I43" s="62"/>
      <c r="N43" s="339" t="s">
        <v>351</v>
      </c>
      <c r="S43" s="15"/>
      <c r="T43" s="15"/>
      <c r="U43" s="70"/>
      <c r="V43" s="62"/>
      <c r="AE43" s="15"/>
      <c r="AF43" s="15"/>
      <c r="AG43" s="70"/>
      <c r="AH43" s="62"/>
    </row>
    <row r="44" spans="1:38">
      <c r="A44" s="53" t="s">
        <v>46</v>
      </c>
      <c r="F44" s="302"/>
      <c r="G44" s="20">
        <f>SUM(F7:F39)-20000</f>
        <v>2007297.5730000008</v>
      </c>
      <c r="H44" s="62"/>
      <c r="I44" s="62"/>
      <c r="N44" s="53" t="s">
        <v>45</v>
      </c>
      <c r="S44" s="20"/>
      <c r="T44" s="20">
        <f>ROUNDUP((S6),0)</f>
        <v>206341</v>
      </c>
      <c r="U44" s="70"/>
      <c r="V44" s="62"/>
      <c r="Z44" s="53" t="s">
        <v>45</v>
      </c>
      <c r="AE44" s="20"/>
      <c r="AF44" s="20">
        <f>ROUNDUP((AE6),0)</f>
        <v>212532</v>
      </c>
      <c r="AG44" s="70"/>
      <c r="AH44" s="62"/>
    </row>
    <row r="45" spans="1:38">
      <c r="A45" s="53" t="s">
        <v>109</v>
      </c>
      <c r="F45" s="302"/>
      <c r="G45" s="302">
        <f>35000-10000</f>
        <v>25000</v>
      </c>
      <c r="H45" s="62"/>
      <c r="I45" s="62"/>
      <c r="N45" s="53" t="s">
        <v>46</v>
      </c>
      <c r="S45" s="20"/>
      <c r="T45" s="20">
        <f>SUM(S7:S41)</f>
        <v>2321891.4799999995</v>
      </c>
      <c r="U45" s="70"/>
      <c r="V45" s="62"/>
      <c r="Z45" s="53" t="s">
        <v>46</v>
      </c>
      <c r="AE45" s="20"/>
      <c r="AF45" s="20">
        <f>SUM(AE7:AE42)</f>
        <v>2359062.3299999996</v>
      </c>
      <c r="AG45" s="70"/>
      <c r="AH45" s="62"/>
    </row>
    <row r="46" spans="1:38">
      <c r="A46" s="53" t="s">
        <v>48</v>
      </c>
      <c r="F46" s="302"/>
      <c r="G46" s="302">
        <v>245000</v>
      </c>
      <c r="H46" s="62"/>
      <c r="I46" s="62"/>
      <c r="N46" s="53" t="s">
        <v>109</v>
      </c>
      <c r="S46" s="20"/>
      <c r="T46" s="20">
        <v>25000</v>
      </c>
      <c r="U46" s="70"/>
      <c r="V46" s="62"/>
      <c r="Z46" s="53" t="s">
        <v>109</v>
      </c>
      <c r="AE46" s="20"/>
      <c r="AF46" s="20">
        <f>25000+29952</f>
        <v>54952</v>
      </c>
      <c r="AG46" s="70"/>
      <c r="AH46" s="62"/>
    </row>
    <row r="47" spans="1:38">
      <c r="A47" s="53" t="s">
        <v>357</v>
      </c>
      <c r="F47" s="302"/>
      <c r="G47" s="302">
        <f>SUM(I6:I38)</f>
        <v>22550</v>
      </c>
      <c r="H47" s="62"/>
      <c r="I47" s="62"/>
      <c r="N47" s="53" t="s">
        <v>48</v>
      </c>
      <c r="S47" s="20"/>
      <c r="T47" s="20">
        <v>259000</v>
      </c>
      <c r="U47" s="70"/>
      <c r="V47" s="62"/>
      <c r="Z47" s="53" t="s">
        <v>48</v>
      </c>
      <c r="AE47" s="20"/>
      <c r="AF47" s="20">
        <v>265000</v>
      </c>
      <c r="AG47" s="70"/>
      <c r="AH47" s="62"/>
    </row>
    <row r="48" spans="1:38">
      <c r="A48" s="53" t="s">
        <v>358</v>
      </c>
      <c r="F48" s="20"/>
      <c r="G48" s="302">
        <f>SUM(J7:J39)+31465</f>
        <v>104216.38500000001</v>
      </c>
      <c r="H48" s="62"/>
      <c r="I48" s="62"/>
      <c r="N48" s="53" t="s">
        <v>357</v>
      </c>
      <c r="S48" s="20"/>
      <c r="T48" s="20">
        <f>SUM(V6:V39)</f>
        <v>28510</v>
      </c>
      <c r="U48" s="70"/>
      <c r="V48" s="62"/>
      <c r="Z48" s="53" t="s">
        <v>357</v>
      </c>
      <c r="AE48" s="20"/>
      <c r="AF48" s="20">
        <f>SUM(AH6:AH40)</f>
        <v>30450</v>
      </c>
      <c r="AG48" s="70"/>
      <c r="AH48" s="62"/>
    </row>
    <row r="49" spans="1:34">
      <c r="A49" s="53" t="s">
        <v>359</v>
      </c>
      <c r="F49" s="20"/>
      <c r="G49" s="317">
        <v>44958</v>
      </c>
      <c r="H49" s="62"/>
      <c r="I49" s="62"/>
      <c r="N49" s="53" t="s">
        <v>358</v>
      </c>
      <c r="S49" s="20"/>
      <c r="T49" s="20">
        <f>SUM(W8:W35)</f>
        <v>131839.92000000007</v>
      </c>
      <c r="U49" s="70"/>
      <c r="V49" s="62"/>
      <c r="Z49" s="53" t="s">
        <v>358</v>
      </c>
      <c r="AE49" s="20"/>
      <c r="AF49" s="20">
        <f>SUM(AI8:AI35)</f>
        <v>131839.92000000007</v>
      </c>
      <c r="AG49" s="70"/>
      <c r="AH49" s="62"/>
    </row>
    <row r="50" spans="1:34">
      <c r="A50" s="53" t="s">
        <v>354</v>
      </c>
      <c r="F50" s="302"/>
      <c r="G50" s="302">
        <f>SUM(K7:K37)</f>
        <v>225105.44999999995</v>
      </c>
      <c r="H50" s="62"/>
      <c r="I50" s="62"/>
      <c r="N50" s="53" t="s">
        <v>359</v>
      </c>
      <c r="S50" s="20"/>
      <c r="T50" s="20">
        <v>68010</v>
      </c>
      <c r="U50" s="70"/>
      <c r="V50" s="62"/>
      <c r="Z50" s="53" t="s">
        <v>359</v>
      </c>
      <c r="AE50" s="20"/>
      <c r="AF50" s="20">
        <v>78206</v>
      </c>
      <c r="AG50" s="70"/>
      <c r="AH50" s="62"/>
    </row>
    <row r="51" spans="1:34">
      <c r="A51" s="53" t="s">
        <v>356</v>
      </c>
      <c r="F51" s="302"/>
      <c r="G51" s="302">
        <v>31050</v>
      </c>
      <c r="H51" s="62"/>
      <c r="I51" s="62"/>
      <c r="N51" s="53" t="s">
        <v>354</v>
      </c>
      <c r="S51" s="20"/>
      <c r="T51" s="20">
        <f>SUM(X8:X34)</f>
        <v>284607.2</v>
      </c>
      <c r="U51" s="70"/>
      <c r="V51" s="62"/>
      <c r="Z51" s="53" t="s">
        <v>354</v>
      </c>
      <c r="AE51" s="20"/>
      <c r="AF51" s="20">
        <f>SUM(AJ8:AJ34)</f>
        <v>316418.99000000005</v>
      </c>
      <c r="AG51" s="70"/>
      <c r="AH51" s="62"/>
    </row>
    <row r="52" spans="1:34">
      <c r="A52" s="53" t="s">
        <v>542</v>
      </c>
      <c r="F52" s="302"/>
      <c r="G52" s="302">
        <v>10800</v>
      </c>
      <c r="H52" s="62"/>
      <c r="I52" s="62"/>
      <c r="N52" s="53" t="s">
        <v>356</v>
      </c>
      <c r="S52" s="20"/>
      <c r="T52" s="20">
        <v>30000</v>
      </c>
      <c r="U52" s="70"/>
      <c r="V52" s="62"/>
      <c r="Z52" s="53" t="s">
        <v>356</v>
      </c>
      <c r="AE52" s="20"/>
      <c r="AF52" s="20">
        <v>31340</v>
      </c>
      <c r="AG52" s="70"/>
      <c r="AH52" s="62"/>
    </row>
    <row r="53" spans="1:34">
      <c r="A53" s="53" t="s">
        <v>355</v>
      </c>
      <c r="F53" s="302"/>
      <c r="G53" s="302">
        <v>10000</v>
      </c>
      <c r="H53" s="62"/>
      <c r="I53" s="62"/>
      <c r="N53" s="53" t="s">
        <v>542</v>
      </c>
      <c r="S53" s="20"/>
      <c r="T53" s="20">
        <v>10800</v>
      </c>
      <c r="U53" s="70"/>
      <c r="V53" s="62"/>
      <c r="Z53" s="53" t="s">
        <v>542</v>
      </c>
      <c r="AE53" s="20"/>
      <c r="AF53" s="20">
        <v>0</v>
      </c>
      <c r="AG53" s="70"/>
      <c r="AH53" s="62"/>
    </row>
    <row r="54" spans="1:34">
      <c r="A54" s="53" t="s">
        <v>341</v>
      </c>
      <c r="F54" s="302"/>
      <c r="G54" s="302">
        <f>SUM(L7:L42)</f>
        <v>8497.51</v>
      </c>
      <c r="H54" s="62"/>
      <c r="I54" s="62"/>
      <c r="N54" s="53" t="s">
        <v>355</v>
      </c>
      <c r="S54" s="20"/>
      <c r="T54" s="20">
        <v>10800</v>
      </c>
      <c r="U54" s="70"/>
      <c r="V54" s="62"/>
      <c r="Z54" s="53" t="s">
        <v>355</v>
      </c>
      <c r="AE54" s="20"/>
      <c r="AF54" s="20">
        <v>11200</v>
      </c>
      <c r="AG54" s="70"/>
      <c r="AH54" s="62"/>
    </row>
    <row r="55" spans="1:34">
      <c r="A55" s="53" t="s">
        <v>52</v>
      </c>
      <c r="F55" s="20"/>
      <c r="G55" s="317">
        <v>51000</v>
      </c>
      <c r="H55" s="320"/>
      <c r="I55" s="62"/>
      <c r="N55" s="53" t="s">
        <v>341</v>
      </c>
      <c r="S55" s="20"/>
      <c r="T55" s="20">
        <f>SUM(Y11:Y33)</f>
        <v>6129.98</v>
      </c>
      <c r="U55" s="433"/>
      <c r="V55" s="62"/>
      <c r="Z55" s="53" t="s">
        <v>341</v>
      </c>
      <c r="AE55" s="20"/>
      <c r="AF55" s="20">
        <f>SUM(AK6:AK33)</f>
        <v>17020.91</v>
      </c>
      <c r="AG55" s="433"/>
      <c r="AH55" s="62"/>
    </row>
    <row r="56" spans="1:34">
      <c r="A56" s="53"/>
      <c r="F56" s="20"/>
      <c r="G56" s="302"/>
      <c r="N56" s="53" t="s">
        <v>616</v>
      </c>
      <c r="S56" s="20"/>
      <c r="T56" s="20">
        <f>+Y6+Y7</f>
        <v>20135.57</v>
      </c>
      <c r="U56" s="69"/>
      <c r="Z56" s="53" t="s">
        <v>616</v>
      </c>
      <c r="AE56" s="20"/>
      <c r="AF56" s="20">
        <v>14792</v>
      </c>
      <c r="AG56" s="69"/>
    </row>
    <row r="57" spans="1:34">
      <c r="A57" s="53"/>
      <c r="F57" s="20"/>
      <c r="G57" s="302"/>
      <c r="N57" s="53" t="s">
        <v>52</v>
      </c>
      <c r="S57" s="20"/>
      <c r="T57" s="20">
        <v>0</v>
      </c>
      <c r="U57" s="69"/>
      <c r="Z57" s="53" t="s">
        <v>52</v>
      </c>
      <c r="AE57" s="20"/>
      <c r="AF57" s="20">
        <v>54131</v>
      </c>
      <c r="AG57" s="69"/>
    </row>
    <row r="58" spans="1:34">
      <c r="A58" s="53"/>
      <c r="B58" s="60"/>
      <c r="N58" s="53"/>
      <c r="S58" s="20"/>
      <c r="T58" s="302"/>
      <c r="Z58" s="53"/>
      <c r="AE58" s="20"/>
      <c r="AF58" s="302"/>
    </row>
    <row r="59" spans="1:34">
      <c r="A59" s="53"/>
      <c r="B59" s="60" t="s">
        <v>529</v>
      </c>
      <c r="F59" s="62"/>
      <c r="N59" s="44" t="s">
        <v>337</v>
      </c>
      <c r="S59" s="318"/>
      <c r="T59" s="319">
        <f>SUM(T44:T57)</f>
        <v>3403065.1499999994</v>
      </c>
      <c r="Z59" s="44" t="s">
        <v>337</v>
      </c>
      <c r="AE59" s="318"/>
      <c r="AF59" s="319">
        <f>SUM(AF44:AF57)</f>
        <v>3576945.15</v>
      </c>
    </row>
    <row r="60" spans="1:34">
      <c r="A60" s="340"/>
      <c r="B60" s="60" t="s">
        <v>552</v>
      </c>
      <c r="N60" s="53"/>
      <c r="O60" s="60"/>
      <c r="AA60" s="60"/>
    </row>
    <row r="61" spans="1:34">
      <c r="A61" s="53"/>
      <c r="B61" s="313" t="s">
        <v>97</v>
      </c>
      <c r="N61" s="53"/>
      <c r="O61" s="60" t="s">
        <v>529</v>
      </c>
      <c r="S61" s="62"/>
      <c r="AA61" s="60" t="s">
        <v>529</v>
      </c>
      <c r="AE61" s="62"/>
    </row>
    <row r="62" spans="1:34">
      <c r="A62" s="53"/>
      <c r="B62" s="60" t="s">
        <v>447</v>
      </c>
      <c r="N62" s="340"/>
      <c r="O62" s="60" t="s">
        <v>625</v>
      </c>
      <c r="AA62" s="60" t="s">
        <v>664</v>
      </c>
    </row>
    <row r="63" spans="1:34">
      <c r="A63" s="53"/>
      <c r="B63" s="24" t="s">
        <v>531</v>
      </c>
      <c r="N63" s="53"/>
      <c r="O63" s="313" t="s">
        <v>97</v>
      </c>
      <c r="AA63" s="313" t="s">
        <v>97</v>
      </c>
    </row>
    <row r="64" spans="1:34">
      <c r="N64" s="53"/>
      <c r="O64" s="60"/>
      <c r="AA64" s="60"/>
    </row>
    <row r="65" spans="14:14">
      <c r="N65" s="53"/>
    </row>
    <row r="66" spans="14:14">
      <c r="N66" s="53"/>
    </row>
  </sheetData>
  <sortState ref="A14:L33">
    <sortCondition ref="A14:A33"/>
  </sortState>
  <phoneticPr fontId="0" type="noConversion"/>
  <printOptions horizontalCentered="1" gridLines="1"/>
  <pageMargins left="0.45" right="0.35" top="0.75" bottom="1" header="0.3" footer="0.3"/>
  <pageSetup scale="53" orientation="landscape" r:id="rId1"/>
  <headerFooter>
    <oddFooter>&amp;L&amp;D FY25 Budget&amp;CPage 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2"/>
  <sheetViews>
    <sheetView topLeftCell="A5" zoomScalePageLayoutView="130" workbookViewId="0">
      <selection activeCell="H7" sqref="H7:H20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2.140625" style="24" customWidth="1"/>
    <col min="4" max="5" width="14.42578125" style="63" customWidth="1"/>
    <col min="6" max="9" width="14.42578125" style="36" customWidth="1"/>
    <col min="10" max="10" width="11.42578125" style="24" bestFit="1" customWidth="1"/>
    <col min="11" max="16384" width="9" style="24"/>
  </cols>
  <sheetData>
    <row r="1" spans="1:10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0">
      <c r="A2" s="30" t="s">
        <v>425</v>
      </c>
      <c r="E2" s="370"/>
      <c r="F2" s="321"/>
      <c r="G2" s="321"/>
    </row>
    <row r="3" spans="1:10">
      <c r="A3" s="30" t="s">
        <v>493</v>
      </c>
      <c r="E3" s="370"/>
      <c r="F3" s="321"/>
      <c r="G3" s="321"/>
    </row>
    <row r="4" spans="1:10" ht="33.7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0">
      <c r="A6" s="34" t="s">
        <v>38</v>
      </c>
      <c r="I6" s="185" t="s">
        <v>0</v>
      </c>
    </row>
    <row r="7" spans="1:10">
      <c r="A7" s="74" t="s">
        <v>1</v>
      </c>
      <c r="B7" s="24" t="s">
        <v>45</v>
      </c>
      <c r="D7" s="376">
        <v>173287</v>
      </c>
      <c r="E7" s="376">
        <v>152354</v>
      </c>
      <c r="F7" s="201">
        <v>185298</v>
      </c>
      <c r="G7" s="201">
        <v>191775</v>
      </c>
      <c r="H7" s="201">
        <v>191775</v>
      </c>
      <c r="I7" s="201"/>
    </row>
    <row r="8" spans="1:10">
      <c r="A8" s="74" t="s">
        <v>2</v>
      </c>
      <c r="B8" s="24" t="s">
        <v>46</v>
      </c>
      <c r="D8" s="376">
        <v>2025906</v>
      </c>
      <c r="E8" s="376">
        <v>2153648</v>
      </c>
      <c r="F8" s="201">
        <v>2292104</v>
      </c>
      <c r="G8" s="201">
        <v>2456887</v>
      </c>
      <c r="H8" s="201">
        <v>2456887</v>
      </c>
      <c r="I8" s="201"/>
      <c r="J8" s="36"/>
    </row>
    <row r="9" spans="1:10">
      <c r="A9" s="74" t="s">
        <v>5</v>
      </c>
      <c r="B9" s="24" t="s">
        <v>48</v>
      </c>
      <c r="D9" s="376">
        <v>431850</v>
      </c>
      <c r="E9" s="376">
        <v>395358</v>
      </c>
      <c r="F9" s="201">
        <v>344949</v>
      </c>
      <c r="G9" s="201">
        <v>355298</v>
      </c>
      <c r="H9" s="201">
        <v>355298</v>
      </c>
      <c r="I9" s="201"/>
    </row>
    <row r="10" spans="1:10">
      <c r="A10" s="74">
        <v>5132</v>
      </c>
      <c r="B10" s="24" t="s">
        <v>680</v>
      </c>
      <c r="D10" s="376">
        <v>66453</v>
      </c>
      <c r="E10" s="376">
        <v>83969</v>
      </c>
      <c r="F10" s="201">
        <v>102450</v>
      </c>
      <c r="G10" s="201">
        <v>110588</v>
      </c>
      <c r="H10" s="201">
        <v>110588</v>
      </c>
      <c r="I10" s="201"/>
    </row>
    <row r="11" spans="1:10">
      <c r="A11" s="74">
        <v>5134</v>
      </c>
      <c r="B11" s="24" t="s">
        <v>679</v>
      </c>
      <c r="D11" s="376">
        <v>74358</v>
      </c>
      <c r="E11" s="376">
        <v>95698</v>
      </c>
      <c r="F11" s="201">
        <v>157421</v>
      </c>
      <c r="G11" s="201">
        <v>173992</v>
      </c>
      <c r="H11" s="201">
        <v>173992</v>
      </c>
      <c r="I11" s="201"/>
    </row>
    <row r="12" spans="1:10">
      <c r="A12" s="74">
        <v>5142</v>
      </c>
      <c r="B12" s="24" t="s">
        <v>91</v>
      </c>
      <c r="D12" s="376">
        <v>18944</v>
      </c>
      <c r="E12" s="376">
        <v>20548</v>
      </c>
      <c r="F12" s="201">
        <v>23750</v>
      </c>
      <c r="G12" s="201">
        <v>24950</v>
      </c>
      <c r="H12" s="201">
        <v>24950</v>
      </c>
      <c r="I12" s="201"/>
    </row>
    <row r="13" spans="1:10">
      <c r="A13" s="74">
        <v>5144</v>
      </c>
      <c r="B13" s="24" t="s">
        <v>449</v>
      </c>
      <c r="D13" s="376">
        <v>88788</v>
      </c>
      <c r="E13" s="376">
        <v>97193</v>
      </c>
      <c r="F13" s="201">
        <v>100992.06</v>
      </c>
      <c r="G13" s="201">
        <v>119564</v>
      </c>
      <c r="H13" s="201">
        <v>119564</v>
      </c>
      <c r="I13" s="201"/>
    </row>
    <row r="14" spans="1:10">
      <c r="A14" s="74" t="s">
        <v>7</v>
      </c>
      <c r="B14" s="24" t="s">
        <v>50</v>
      </c>
      <c r="D14" s="376">
        <v>11439</v>
      </c>
      <c r="E14" s="376">
        <v>27695</v>
      </c>
      <c r="F14" s="201">
        <v>0</v>
      </c>
      <c r="G14" s="201">
        <v>0</v>
      </c>
      <c r="H14" s="201">
        <v>0</v>
      </c>
      <c r="I14" s="201"/>
    </row>
    <row r="15" spans="1:10">
      <c r="A15" s="74" t="s">
        <v>8</v>
      </c>
      <c r="B15" s="24" t="s">
        <v>556</v>
      </c>
      <c r="D15" s="376">
        <v>5199</v>
      </c>
      <c r="E15" s="376">
        <v>6199</v>
      </c>
      <c r="F15" s="201">
        <v>6400</v>
      </c>
      <c r="G15" s="201">
        <v>7000</v>
      </c>
      <c r="H15" s="201">
        <v>7000</v>
      </c>
      <c r="I15" s="201"/>
    </row>
    <row r="16" spans="1:10">
      <c r="A16" s="74">
        <v>5172</v>
      </c>
      <c r="B16" s="24" t="s">
        <v>67</v>
      </c>
      <c r="D16" s="376">
        <v>19978</v>
      </c>
      <c r="E16" s="376">
        <v>22478</v>
      </c>
      <c r="F16" s="201">
        <v>31500</v>
      </c>
      <c r="G16" s="201">
        <v>31500</v>
      </c>
      <c r="H16" s="201">
        <v>31500</v>
      </c>
      <c r="I16" s="201"/>
    </row>
    <row r="17" spans="1:9">
      <c r="A17" s="74">
        <v>5146</v>
      </c>
      <c r="B17" s="24" t="s">
        <v>49</v>
      </c>
      <c r="D17" s="376">
        <v>11825</v>
      </c>
      <c r="E17" s="376">
        <v>11655</v>
      </c>
      <c r="F17" s="201">
        <v>13232</v>
      </c>
      <c r="G17" s="201">
        <v>14144</v>
      </c>
      <c r="H17" s="201">
        <v>14144</v>
      </c>
      <c r="I17" s="201"/>
    </row>
    <row r="18" spans="1:9">
      <c r="A18" s="74">
        <v>5174</v>
      </c>
      <c r="B18" s="24" t="s">
        <v>408</v>
      </c>
      <c r="D18" s="376">
        <v>304007</v>
      </c>
      <c r="E18" s="376">
        <v>327095</v>
      </c>
      <c r="F18" s="201">
        <v>372300</v>
      </c>
      <c r="G18" s="201">
        <f>349400+48800</f>
        <v>398200</v>
      </c>
      <c r="H18" s="201">
        <f>349400+48800</f>
        <v>398200</v>
      </c>
      <c r="I18" s="201"/>
    </row>
    <row r="19" spans="1:9">
      <c r="A19" s="74">
        <v>5192</v>
      </c>
      <c r="B19" s="24" t="s">
        <v>345</v>
      </c>
      <c r="D19" s="376">
        <v>10831</v>
      </c>
      <c r="E19" s="376">
        <v>29157</v>
      </c>
      <c r="F19" s="201">
        <v>20000</v>
      </c>
      <c r="G19" s="201">
        <v>20000</v>
      </c>
      <c r="H19" s="201">
        <v>20000</v>
      </c>
      <c r="I19" s="201"/>
    </row>
    <row r="20" spans="1:9">
      <c r="A20" s="74" t="s">
        <v>10</v>
      </c>
      <c r="B20" s="24" t="s">
        <v>52</v>
      </c>
      <c r="D20" s="376">
        <v>0</v>
      </c>
      <c r="E20" s="376">
        <v>0</v>
      </c>
      <c r="F20" s="201">
        <v>0</v>
      </c>
      <c r="G20" s="201">
        <v>62970</v>
      </c>
      <c r="H20" s="201">
        <v>62970</v>
      </c>
      <c r="I20" s="296"/>
    </row>
    <row r="21" spans="1:9">
      <c r="A21" s="35"/>
      <c r="D21" s="377">
        <f t="shared" ref="D21:I21" si="0">SUM(D7:D20)</f>
        <v>3242865</v>
      </c>
      <c r="E21" s="377">
        <f t="shared" si="0"/>
        <v>3423047</v>
      </c>
      <c r="F21" s="295">
        <f t="shared" si="0"/>
        <v>3650396.06</v>
      </c>
      <c r="G21" s="295">
        <f>SUM(G7:G20)</f>
        <v>3966868</v>
      </c>
      <c r="H21" s="295">
        <f t="shared" si="0"/>
        <v>3966868</v>
      </c>
      <c r="I21" s="295">
        <f t="shared" si="0"/>
        <v>0</v>
      </c>
    </row>
    <row r="22" spans="1:9">
      <c r="A22" s="30" t="s">
        <v>44</v>
      </c>
      <c r="D22" s="376"/>
      <c r="E22" s="376"/>
      <c r="F22" s="201"/>
      <c r="G22" s="201"/>
      <c r="H22" s="201"/>
      <c r="I22" s="201"/>
    </row>
    <row r="23" spans="1:9">
      <c r="A23" s="35" t="s">
        <v>11</v>
      </c>
      <c r="B23" s="24" t="s">
        <v>526</v>
      </c>
      <c r="D23" s="376">
        <v>11172</v>
      </c>
      <c r="E23" s="376">
        <v>13233</v>
      </c>
      <c r="F23" s="201">
        <v>6500</v>
      </c>
      <c r="G23" s="201">
        <v>6695</v>
      </c>
      <c r="H23" s="201">
        <v>6695</v>
      </c>
      <c r="I23" s="201"/>
    </row>
    <row r="24" spans="1:9">
      <c r="A24" s="74">
        <v>5212</v>
      </c>
      <c r="B24" s="24" t="s">
        <v>525</v>
      </c>
      <c r="D24" s="376">
        <v>6177</v>
      </c>
      <c r="E24" s="376">
        <v>6881</v>
      </c>
      <c r="F24" s="201">
        <v>6000</v>
      </c>
      <c r="G24" s="201">
        <v>6180</v>
      </c>
      <c r="H24" s="201">
        <v>6180</v>
      </c>
      <c r="I24" s="201"/>
    </row>
    <row r="25" spans="1:9">
      <c r="A25" s="35" t="s">
        <v>12</v>
      </c>
      <c r="B25" s="24" t="s">
        <v>527</v>
      </c>
      <c r="D25" s="376">
        <v>1688</v>
      </c>
      <c r="E25" s="376">
        <v>2026</v>
      </c>
      <c r="F25" s="201">
        <v>1500</v>
      </c>
      <c r="G25" s="201">
        <v>1545</v>
      </c>
      <c r="H25" s="201">
        <v>1545</v>
      </c>
      <c r="I25" s="201"/>
    </row>
    <row r="26" spans="1:9">
      <c r="A26" s="35" t="s">
        <v>13</v>
      </c>
      <c r="B26" s="24" t="s">
        <v>53</v>
      </c>
      <c r="D26" s="302">
        <v>41777</v>
      </c>
      <c r="E26" s="302">
        <v>62294</v>
      </c>
      <c r="F26" s="22">
        <v>40000</v>
      </c>
      <c r="G26" s="22">
        <v>41200</v>
      </c>
      <c r="H26" s="22">
        <v>41200</v>
      </c>
      <c r="I26" s="22"/>
    </row>
    <row r="27" spans="1:9">
      <c r="A27" s="35" t="s">
        <v>16</v>
      </c>
      <c r="B27" s="24" t="s">
        <v>56</v>
      </c>
      <c r="D27" s="376">
        <v>27901</v>
      </c>
      <c r="E27" s="376">
        <v>24539</v>
      </c>
      <c r="F27" s="201">
        <v>25000</v>
      </c>
      <c r="G27" s="201">
        <v>25750</v>
      </c>
      <c r="H27" s="201">
        <v>25750</v>
      </c>
      <c r="I27" s="201"/>
    </row>
    <row r="28" spans="1:9">
      <c r="A28" s="35" t="s">
        <v>18</v>
      </c>
      <c r="B28" s="24" t="s">
        <v>58</v>
      </c>
      <c r="D28" s="376">
        <v>13106</v>
      </c>
      <c r="E28" s="376">
        <v>26710</v>
      </c>
      <c r="F28" s="201">
        <v>11000</v>
      </c>
      <c r="G28" s="201">
        <v>11330</v>
      </c>
      <c r="H28" s="201">
        <v>11330</v>
      </c>
      <c r="I28" s="201"/>
    </row>
    <row r="29" spans="1:9">
      <c r="A29" s="35" t="s">
        <v>20</v>
      </c>
      <c r="B29" s="24" t="s">
        <v>741</v>
      </c>
      <c r="D29" s="376">
        <v>0</v>
      </c>
      <c r="E29" s="376">
        <v>0</v>
      </c>
      <c r="F29" s="201">
        <v>0</v>
      </c>
      <c r="G29" s="201">
        <v>26000</v>
      </c>
      <c r="H29" s="201">
        <v>26000</v>
      </c>
      <c r="I29" s="201"/>
    </row>
    <row r="30" spans="1:9">
      <c r="A30" s="35" t="s">
        <v>20</v>
      </c>
      <c r="B30" s="24" t="s">
        <v>59</v>
      </c>
      <c r="D30" s="376">
        <v>14811</v>
      </c>
      <c r="E30" s="376">
        <v>15987</v>
      </c>
      <c r="F30" s="201">
        <v>15000</v>
      </c>
      <c r="G30" s="201">
        <v>15450</v>
      </c>
      <c r="H30" s="201">
        <v>15450</v>
      </c>
      <c r="I30" s="201"/>
    </row>
    <row r="31" spans="1:9">
      <c r="A31" s="35"/>
      <c r="D31" s="377">
        <f t="shared" ref="D31:I31" si="1">SUM(D23:D30)</f>
        <v>116632</v>
      </c>
      <c r="E31" s="377">
        <f t="shared" si="1"/>
        <v>151670</v>
      </c>
      <c r="F31" s="295">
        <f t="shared" si="1"/>
        <v>105000</v>
      </c>
      <c r="G31" s="295">
        <f>SUM(G23:G30)</f>
        <v>134150</v>
      </c>
      <c r="H31" s="295">
        <f t="shared" ref="H31" si="2">SUM(H23:H30)</f>
        <v>134150</v>
      </c>
      <c r="I31" s="295">
        <f t="shared" si="1"/>
        <v>0</v>
      </c>
    </row>
    <row r="32" spans="1:9">
      <c r="A32" s="30" t="s">
        <v>43</v>
      </c>
      <c r="B32" s="24" t="s">
        <v>0</v>
      </c>
      <c r="D32" s="376" t="s">
        <v>0</v>
      </c>
      <c r="E32" s="376" t="s">
        <v>0</v>
      </c>
      <c r="F32" s="201" t="s">
        <v>0</v>
      </c>
      <c r="G32" s="201" t="s">
        <v>0</v>
      </c>
      <c r="H32" s="201" t="s">
        <v>0</v>
      </c>
      <c r="I32" s="201" t="s">
        <v>0</v>
      </c>
    </row>
    <row r="33" spans="1:59">
      <c r="A33" s="35" t="s">
        <v>21</v>
      </c>
      <c r="B33" s="24" t="s">
        <v>60</v>
      </c>
      <c r="D33" s="376">
        <v>8634</v>
      </c>
      <c r="E33" s="376">
        <v>6888</v>
      </c>
      <c r="F33" s="201">
        <v>9000</v>
      </c>
      <c r="G33" s="201">
        <v>9270</v>
      </c>
      <c r="H33" s="201">
        <v>9270</v>
      </c>
      <c r="I33" s="201"/>
    </row>
    <row r="34" spans="1:59">
      <c r="A34" s="35" t="s">
        <v>22</v>
      </c>
      <c r="B34" s="24" t="s">
        <v>61</v>
      </c>
      <c r="D34" s="376">
        <v>49500</v>
      </c>
      <c r="E34" s="376">
        <v>90800</v>
      </c>
      <c r="F34" s="201">
        <v>40000</v>
      </c>
      <c r="G34" s="201">
        <v>41200</v>
      </c>
      <c r="H34" s="201">
        <v>41200</v>
      </c>
      <c r="I34" s="201"/>
    </row>
    <row r="35" spans="1:59">
      <c r="A35" s="35" t="s">
        <v>23</v>
      </c>
      <c r="B35" s="24" t="s">
        <v>62</v>
      </c>
      <c r="D35" s="376">
        <v>8560</v>
      </c>
      <c r="E35" s="376">
        <v>8893</v>
      </c>
      <c r="F35" s="201">
        <v>5648</v>
      </c>
      <c r="G35" s="201">
        <v>5817</v>
      </c>
      <c r="H35" s="201">
        <v>5817</v>
      </c>
      <c r="I35" s="201"/>
    </row>
    <row r="36" spans="1:59">
      <c r="A36" s="74">
        <v>5460</v>
      </c>
      <c r="B36" s="24" t="s">
        <v>63</v>
      </c>
      <c r="D36" s="376">
        <v>2071</v>
      </c>
      <c r="E36" s="376">
        <v>1669</v>
      </c>
      <c r="F36" s="201">
        <v>5000</v>
      </c>
      <c r="G36" s="201">
        <v>5150</v>
      </c>
      <c r="H36" s="201">
        <v>5150</v>
      </c>
      <c r="I36" s="201"/>
    </row>
    <row r="37" spans="1:59">
      <c r="A37" s="35" t="s">
        <v>25</v>
      </c>
      <c r="B37" s="24" t="s">
        <v>64</v>
      </c>
      <c r="D37" s="376">
        <v>16872</v>
      </c>
      <c r="E37" s="376">
        <v>10096</v>
      </c>
      <c r="F37" s="201">
        <v>28000</v>
      </c>
      <c r="G37" s="201">
        <v>28840</v>
      </c>
      <c r="H37" s="201">
        <v>28840</v>
      </c>
      <c r="I37" s="201"/>
    </row>
    <row r="38" spans="1:59">
      <c r="A38" s="74">
        <v>5482</v>
      </c>
      <c r="B38" s="24" t="s">
        <v>398</v>
      </c>
      <c r="D38" s="376">
        <v>19284</v>
      </c>
      <c r="E38" s="376">
        <v>19618</v>
      </c>
      <c r="F38" s="201">
        <v>20000</v>
      </c>
      <c r="G38" s="201">
        <v>20600</v>
      </c>
      <c r="H38" s="201">
        <v>20600</v>
      </c>
      <c r="I38" s="201"/>
    </row>
    <row r="39" spans="1:59">
      <c r="A39" s="35" t="s">
        <v>27</v>
      </c>
      <c r="B39" s="24" t="s">
        <v>66</v>
      </c>
      <c r="D39" s="376">
        <v>9274</v>
      </c>
      <c r="E39" s="376">
        <v>39621</v>
      </c>
      <c r="F39" s="201">
        <v>25000</v>
      </c>
      <c r="G39" s="201">
        <v>15750</v>
      </c>
      <c r="H39" s="201">
        <v>15750</v>
      </c>
      <c r="I39" s="201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</row>
    <row r="40" spans="1:59">
      <c r="A40" s="35" t="s">
        <v>28</v>
      </c>
      <c r="B40" s="24" t="s">
        <v>67</v>
      </c>
      <c r="D40" s="376">
        <v>20691</v>
      </c>
      <c r="E40" s="376">
        <v>7970</v>
      </c>
      <c r="F40" s="201">
        <v>15000</v>
      </c>
      <c r="G40" s="201">
        <v>15450</v>
      </c>
      <c r="H40" s="201">
        <v>15450</v>
      </c>
      <c r="I40" s="201"/>
      <c r="AT40" s="62"/>
      <c r="AU40" s="62"/>
      <c r="AV40" s="62"/>
      <c r="AW40" s="62"/>
    </row>
    <row r="41" spans="1:59">
      <c r="A41" s="35" t="s">
        <v>30</v>
      </c>
      <c r="B41" s="24" t="s">
        <v>69</v>
      </c>
      <c r="D41" s="387">
        <v>53272</v>
      </c>
      <c r="E41" s="387">
        <v>26757</v>
      </c>
      <c r="F41" s="296">
        <v>14500</v>
      </c>
      <c r="G41" s="296">
        <v>14935</v>
      </c>
      <c r="H41" s="296">
        <v>14935</v>
      </c>
      <c r="I41" s="296"/>
    </row>
    <row r="42" spans="1:59">
      <c r="A42" s="35"/>
      <c r="D42" s="388">
        <f t="shared" ref="D42:I42" si="3">SUM(D33:D41)</f>
        <v>188158</v>
      </c>
      <c r="E42" s="388">
        <f t="shared" si="3"/>
        <v>212312</v>
      </c>
      <c r="F42" s="254">
        <f t="shared" si="3"/>
        <v>162148</v>
      </c>
      <c r="G42" s="254">
        <f>SUM(G33:G41)</f>
        <v>157012</v>
      </c>
      <c r="H42" s="254">
        <f t="shared" ref="H42" si="4">SUM(H33:H41)</f>
        <v>157012</v>
      </c>
      <c r="I42" s="254">
        <f t="shared" si="3"/>
        <v>0</v>
      </c>
    </row>
    <row r="43" spans="1:59">
      <c r="A43" s="30" t="s">
        <v>39</v>
      </c>
      <c r="D43" s="388"/>
      <c r="E43" s="388"/>
      <c r="F43" s="254"/>
      <c r="G43" s="254"/>
      <c r="H43" s="254"/>
      <c r="I43" s="201"/>
    </row>
    <row r="44" spans="1:59">
      <c r="A44" s="35" t="s">
        <v>31</v>
      </c>
      <c r="B44" s="24" t="s">
        <v>70</v>
      </c>
      <c r="D44" s="376">
        <v>88</v>
      </c>
      <c r="E44" s="376">
        <v>75</v>
      </c>
      <c r="F44" s="201">
        <v>3700</v>
      </c>
      <c r="G44" s="201">
        <v>3811</v>
      </c>
      <c r="H44" s="201">
        <v>3811</v>
      </c>
      <c r="I44" s="201"/>
    </row>
    <row r="45" spans="1:59">
      <c r="A45" s="74">
        <v>5720</v>
      </c>
      <c r="B45" s="24" t="s">
        <v>239</v>
      </c>
      <c r="D45" s="376">
        <v>1372</v>
      </c>
      <c r="E45" s="376">
        <v>4049</v>
      </c>
      <c r="F45" s="201">
        <v>3700</v>
      </c>
      <c r="G45" s="201">
        <v>3811</v>
      </c>
      <c r="H45" s="201">
        <v>3811</v>
      </c>
      <c r="I45" s="201"/>
    </row>
    <row r="46" spans="1:59">
      <c r="A46" s="35" t="s">
        <v>33</v>
      </c>
      <c r="B46" s="24" t="s">
        <v>71</v>
      </c>
      <c r="D46" s="376">
        <v>2260</v>
      </c>
      <c r="E46" s="376">
        <v>2410</v>
      </c>
      <c r="F46" s="201">
        <v>1500</v>
      </c>
      <c r="G46" s="201">
        <v>1545</v>
      </c>
      <c r="H46" s="201">
        <v>1545</v>
      </c>
      <c r="I46" s="201"/>
    </row>
    <row r="47" spans="1:59">
      <c r="A47" s="35" t="s">
        <v>35</v>
      </c>
      <c r="B47" s="24" t="s">
        <v>75</v>
      </c>
      <c r="D47" s="376">
        <v>0</v>
      </c>
      <c r="E47" s="376">
        <v>0</v>
      </c>
      <c r="F47" s="201">
        <v>2000</v>
      </c>
      <c r="G47" s="201">
        <v>2060</v>
      </c>
      <c r="H47" s="201">
        <v>2060</v>
      </c>
      <c r="I47" s="201"/>
    </row>
    <row r="48" spans="1:59">
      <c r="A48" s="35"/>
      <c r="D48" s="377">
        <f t="shared" ref="D48:I48" si="5">SUM(D44:D47)</f>
        <v>3720</v>
      </c>
      <c r="E48" s="377">
        <f t="shared" si="5"/>
        <v>6534</v>
      </c>
      <c r="F48" s="295">
        <f t="shared" si="5"/>
        <v>10900</v>
      </c>
      <c r="G48" s="295">
        <f t="shared" si="5"/>
        <v>11227</v>
      </c>
      <c r="H48" s="295">
        <f t="shared" ref="H48" si="6">SUM(H44:H47)</f>
        <v>11227</v>
      </c>
      <c r="I48" s="295">
        <f t="shared" si="5"/>
        <v>0</v>
      </c>
    </row>
    <row r="49" spans="1:9">
      <c r="A49" s="35"/>
      <c r="D49" s="250"/>
      <c r="E49" s="250"/>
      <c r="F49" s="82"/>
      <c r="G49" s="82"/>
      <c r="H49" s="29"/>
      <c r="I49" s="29"/>
    </row>
    <row r="50" spans="1:9">
      <c r="A50" s="30" t="s">
        <v>40</v>
      </c>
      <c r="D50" s="447">
        <f t="shared" ref="D50:I50" si="7">D48+D42+D31+D21</f>
        <v>3551375</v>
      </c>
      <c r="E50" s="447">
        <f t="shared" si="7"/>
        <v>3793563</v>
      </c>
      <c r="F50" s="447">
        <f t="shared" si="7"/>
        <v>3928444.06</v>
      </c>
      <c r="G50" s="214">
        <f t="shared" si="7"/>
        <v>4269257</v>
      </c>
      <c r="H50" s="214">
        <f>H48+H42+H31+H21</f>
        <v>4269257</v>
      </c>
      <c r="I50" s="214">
        <f t="shared" si="7"/>
        <v>0</v>
      </c>
    </row>
    <row r="52" spans="1:9">
      <c r="D52" s="372"/>
      <c r="E52" s="375"/>
      <c r="F52" s="202"/>
      <c r="G52" s="202"/>
      <c r="H52" s="202"/>
    </row>
  </sheetData>
  <phoneticPr fontId="0" type="noConversion"/>
  <printOptions horizontalCentered="1"/>
  <pageMargins left="0.45" right="0.35" top="0.75" bottom="1" header="0.3" footer="0.3"/>
  <pageSetup scale="64" orientation="landscape" r:id="rId1"/>
  <headerFooter>
    <oddFooter>&amp;L&amp;D FY25 Budget&amp;CPage 24</oddFooter>
  </headerFooter>
  <ignoredErrors>
    <ignoredError sqref="A37 A7:A9 A14:A15 A39:A44 A30:A35 A20:A23 A46:A50 A25:A28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opLeftCell="A34" zoomScalePageLayoutView="120" workbookViewId="0">
      <selection activeCell="M55" sqref="M55"/>
    </sheetView>
  </sheetViews>
  <sheetFormatPr defaultColWidth="9.28515625" defaultRowHeight="15"/>
  <cols>
    <col min="1" max="1" width="20.42578125" style="24" customWidth="1"/>
    <col min="2" max="2" width="9" style="24"/>
    <col min="3" max="3" width="7.42578125" style="24" customWidth="1"/>
    <col min="4" max="5" width="13" style="24" customWidth="1"/>
    <col min="6" max="7" width="11.5703125" style="24" customWidth="1"/>
    <col min="8" max="8" width="4.5703125" style="24" customWidth="1"/>
    <col min="9" max="9" width="20.42578125" style="24" customWidth="1"/>
    <col min="10" max="10" width="9" style="24"/>
    <col min="11" max="11" width="6.42578125" style="24" customWidth="1"/>
    <col min="12" max="12" width="13" style="24" customWidth="1"/>
    <col min="13" max="13" width="13.42578125" style="24" customWidth="1"/>
    <col min="14" max="15" width="11.5703125" style="24" customWidth="1"/>
    <col min="16" max="19" width="9" style="24"/>
    <col min="20" max="16384" width="9.28515625" style="24"/>
  </cols>
  <sheetData>
    <row r="1" spans="1:26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0" t="str">
        <f>+Summary!A1</f>
        <v>Fiscal Year 2025 Budget Worksheet</v>
      </c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26" ht="15.75">
      <c r="A2" s="84" t="s">
        <v>42</v>
      </c>
      <c r="B2" s="323" t="s">
        <v>494</v>
      </c>
      <c r="C2" s="86"/>
      <c r="D2" s="85"/>
      <c r="E2" s="85"/>
      <c r="F2" s="199"/>
      <c r="I2" s="341" t="s">
        <v>42</v>
      </c>
      <c r="J2" s="323" t="s">
        <v>494</v>
      </c>
      <c r="K2" s="86"/>
      <c r="L2" s="85"/>
      <c r="M2" s="85"/>
      <c r="N2" s="199"/>
    </row>
    <row r="3" spans="1:26" ht="15.75">
      <c r="A3" s="84"/>
      <c r="B3" s="86"/>
      <c r="C3" s="86"/>
      <c r="D3" s="43" t="s">
        <v>624</v>
      </c>
      <c r="E3" s="85"/>
      <c r="F3" s="199"/>
      <c r="I3" s="342"/>
      <c r="J3" s="43"/>
      <c r="K3" s="86"/>
      <c r="L3" s="43" t="s">
        <v>662</v>
      </c>
      <c r="M3" s="85"/>
      <c r="N3" s="199"/>
    </row>
    <row r="4" spans="1:26" s="48" customFormat="1" ht="15.75">
      <c r="A4" s="328"/>
      <c r="B4" s="329" t="s">
        <v>86</v>
      </c>
      <c r="C4" s="329" t="s">
        <v>87</v>
      </c>
      <c r="D4" s="329" t="s">
        <v>88</v>
      </c>
      <c r="E4" s="330" t="s">
        <v>91</v>
      </c>
      <c r="F4" s="331" t="s">
        <v>353</v>
      </c>
      <c r="G4" s="330" t="s">
        <v>334</v>
      </c>
      <c r="H4" s="49"/>
      <c r="I4" s="343"/>
      <c r="J4" s="329" t="s">
        <v>86</v>
      </c>
      <c r="K4" s="329" t="s">
        <v>87</v>
      </c>
      <c r="L4" s="329" t="s">
        <v>88</v>
      </c>
      <c r="M4" s="330" t="s">
        <v>91</v>
      </c>
      <c r="N4" s="331" t="s">
        <v>353</v>
      </c>
      <c r="O4" s="330" t="s">
        <v>334</v>
      </c>
    </row>
    <row r="5" spans="1:26" ht="15.75">
      <c r="A5" s="85"/>
      <c r="B5" s="85"/>
      <c r="C5" s="86"/>
      <c r="D5" s="86"/>
      <c r="E5" s="87"/>
      <c r="F5" s="200"/>
      <c r="G5" s="89"/>
      <c r="I5" s="344"/>
      <c r="J5" s="85"/>
      <c r="K5" s="86"/>
      <c r="L5" s="86"/>
      <c r="M5" s="87"/>
      <c r="N5" s="200"/>
      <c r="O5" s="89"/>
    </row>
    <row r="6" spans="1:26" ht="15.75">
      <c r="A6" s="344" t="s">
        <v>128</v>
      </c>
      <c r="B6" s="90" t="s">
        <v>122</v>
      </c>
      <c r="C6" s="86"/>
      <c r="D6" s="199">
        <v>185298</v>
      </c>
      <c r="E6" s="199">
        <v>2000</v>
      </c>
      <c r="F6" s="199">
        <v>7221.39</v>
      </c>
      <c r="G6" s="199"/>
      <c r="I6" s="344" t="s">
        <v>128</v>
      </c>
      <c r="J6" s="90" t="s">
        <v>122</v>
      </c>
      <c r="K6" s="86"/>
      <c r="L6" s="199">
        <v>191775</v>
      </c>
      <c r="M6" s="199">
        <v>2000</v>
      </c>
      <c r="N6" s="199">
        <v>8851</v>
      </c>
      <c r="O6" s="199"/>
    </row>
    <row r="7" spans="1:26" ht="15.75">
      <c r="A7" s="344"/>
      <c r="B7" s="90"/>
      <c r="C7" s="86"/>
      <c r="D7" s="199"/>
      <c r="E7" s="199"/>
      <c r="F7" s="199"/>
      <c r="G7" s="199"/>
      <c r="I7" s="344"/>
      <c r="J7" s="90"/>
      <c r="K7" s="86"/>
      <c r="L7" s="199"/>
      <c r="M7" s="199"/>
      <c r="N7" s="199"/>
      <c r="O7" s="199"/>
    </row>
    <row r="8" spans="1:26" ht="15.75">
      <c r="A8" s="344" t="s">
        <v>125</v>
      </c>
      <c r="B8" s="90" t="s">
        <v>129</v>
      </c>
      <c r="C8" s="86"/>
      <c r="D8" s="199">
        <v>147048</v>
      </c>
      <c r="E8" s="199">
        <v>1500</v>
      </c>
      <c r="F8" s="199">
        <v>5730.67</v>
      </c>
      <c r="G8" s="199">
        <v>3500</v>
      </c>
      <c r="I8" s="344" t="s">
        <v>125</v>
      </c>
      <c r="J8" s="90" t="s">
        <v>129</v>
      </c>
      <c r="K8" s="86"/>
      <c r="L8" s="199">
        <v>152188</v>
      </c>
      <c r="M8" s="199">
        <v>1500</v>
      </c>
      <c r="N8" s="199">
        <v>7024</v>
      </c>
      <c r="O8" s="199">
        <v>3500</v>
      </c>
    </row>
    <row r="9" spans="1:26" ht="15.75">
      <c r="A9" s="344" t="s">
        <v>573</v>
      </c>
      <c r="B9" s="90" t="s">
        <v>123</v>
      </c>
      <c r="C9" s="86"/>
      <c r="D9" s="199">
        <v>82738.649999999994</v>
      </c>
      <c r="E9" s="199">
        <v>1500</v>
      </c>
      <c r="F9" s="199">
        <v>3500</v>
      </c>
      <c r="G9" s="199"/>
      <c r="I9" s="344" t="s">
        <v>573</v>
      </c>
      <c r="J9" s="90" t="s">
        <v>123</v>
      </c>
      <c r="K9" s="86"/>
      <c r="L9" s="199">
        <v>84394</v>
      </c>
      <c r="M9" s="199">
        <v>1500</v>
      </c>
      <c r="N9" s="199">
        <v>3895</v>
      </c>
      <c r="O9" s="199"/>
    </row>
    <row r="10" spans="1:26" ht="15.75">
      <c r="A10" s="344" t="s">
        <v>412</v>
      </c>
      <c r="B10" s="90" t="s">
        <v>123</v>
      </c>
      <c r="C10" s="86"/>
      <c r="D10" s="199">
        <v>82738.649999999994</v>
      </c>
      <c r="E10" s="199">
        <v>2000</v>
      </c>
      <c r="F10" s="199">
        <v>3500</v>
      </c>
      <c r="G10" s="199">
        <v>2500</v>
      </c>
      <c r="I10" s="344" t="s">
        <v>412</v>
      </c>
      <c r="J10" s="90" t="s">
        <v>123</v>
      </c>
      <c r="K10" s="86"/>
      <c r="L10" s="199">
        <v>84394</v>
      </c>
      <c r="M10" s="199">
        <v>2000</v>
      </c>
      <c r="N10" s="199">
        <v>3895</v>
      </c>
      <c r="O10" s="199">
        <v>2500</v>
      </c>
    </row>
    <row r="11" spans="1:26" ht="15.75">
      <c r="A11" s="344" t="s">
        <v>124</v>
      </c>
      <c r="B11" s="90" t="s">
        <v>394</v>
      </c>
      <c r="C11" s="86"/>
      <c r="D11" s="199">
        <v>68948.87</v>
      </c>
      <c r="E11" s="199">
        <v>750</v>
      </c>
      <c r="F11" s="199">
        <v>2917</v>
      </c>
      <c r="G11" s="199"/>
      <c r="I11" s="344" t="s">
        <v>124</v>
      </c>
      <c r="J11" s="90" t="s">
        <v>394</v>
      </c>
      <c r="K11" s="86"/>
      <c r="L11" s="199">
        <v>70328</v>
      </c>
      <c r="M11" s="199">
        <v>1500</v>
      </c>
      <c r="N11" s="199">
        <v>3246</v>
      </c>
      <c r="O11" s="199"/>
    </row>
    <row r="12" spans="1:26" ht="15.75">
      <c r="A12" s="344" t="s">
        <v>112</v>
      </c>
      <c r="B12" s="90" t="s">
        <v>123</v>
      </c>
      <c r="C12" s="88"/>
      <c r="D12" s="199">
        <v>82738.649999999994</v>
      </c>
      <c r="E12" s="199">
        <v>1500</v>
      </c>
      <c r="F12" s="199">
        <v>3500</v>
      </c>
      <c r="G12" s="199">
        <v>2500</v>
      </c>
      <c r="I12" s="344" t="s">
        <v>112</v>
      </c>
      <c r="J12" s="90" t="s">
        <v>123</v>
      </c>
      <c r="K12" s="88"/>
      <c r="L12" s="199">
        <v>84394</v>
      </c>
      <c r="M12" s="199">
        <v>1500</v>
      </c>
      <c r="N12" s="199">
        <v>3895</v>
      </c>
      <c r="O12" s="199">
        <v>2500</v>
      </c>
    </row>
    <row r="13" spans="1:26" ht="15.75">
      <c r="A13" s="344" t="s">
        <v>126</v>
      </c>
      <c r="B13" s="90" t="s">
        <v>394</v>
      </c>
      <c r="C13" s="88"/>
      <c r="D13" s="199">
        <v>68948.87</v>
      </c>
      <c r="E13" s="199">
        <v>1850</v>
      </c>
      <c r="F13" s="199">
        <v>2917</v>
      </c>
      <c r="G13" s="199"/>
      <c r="I13" s="344" t="s">
        <v>126</v>
      </c>
      <c r="J13" s="90" t="s">
        <v>394</v>
      </c>
      <c r="K13" s="88"/>
      <c r="L13" s="199">
        <v>70328</v>
      </c>
      <c r="M13" s="199">
        <v>1850</v>
      </c>
      <c r="N13" s="199">
        <v>3246</v>
      </c>
      <c r="O13" s="199"/>
    </row>
    <row r="14" spans="1:26" ht="15.75">
      <c r="A14" s="344" t="s">
        <v>127</v>
      </c>
      <c r="B14" s="90" t="s">
        <v>394</v>
      </c>
      <c r="C14" s="86"/>
      <c r="D14" s="199">
        <v>68948.87</v>
      </c>
      <c r="E14" s="199">
        <v>750</v>
      </c>
      <c r="F14" s="199">
        <v>2917</v>
      </c>
      <c r="G14" s="199"/>
      <c r="I14" s="344" t="s">
        <v>127</v>
      </c>
      <c r="J14" s="90" t="s">
        <v>394</v>
      </c>
      <c r="K14" s="86"/>
      <c r="L14" s="199">
        <v>70328</v>
      </c>
      <c r="M14" s="199">
        <v>750</v>
      </c>
      <c r="N14" s="199">
        <v>3246</v>
      </c>
      <c r="O14" s="199"/>
    </row>
    <row r="15" spans="1:26" ht="15.75">
      <c r="A15" s="344" t="s">
        <v>237</v>
      </c>
      <c r="B15" s="90" t="s">
        <v>394</v>
      </c>
      <c r="C15" s="86"/>
      <c r="D15" s="199">
        <v>68948.87</v>
      </c>
      <c r="E15" s="199">
        <v>500</v>
      </c>
      <c r="F15" s="199">
        <v>2917</v>
      </c>
      <c r="G15" s="199">
        <v>3500</v>
      </c>
      <c r="I15" s="344" t="s">
        <v>237</v>
      </c>
      <c r="J15" s="90" t="s">
        <v>394</v>
      </c>
      <c r="K15" s="86"/>
      <c r="L15" s="199">
        <v>70328</v>
      </c>
      <c r="M15" s="199">
        <v>750</v>
      </c>
      <c r="N15" s="199">
        <v>3246</v>
      </c>
      <c r="O15" s="199">
        <v>3500</v>
      </c>
    </row>
    <row r="16" spans="1:26" ht="15.75">
      <c r="A16" s="344" t="s">
        <v>539</v>
      </c>
      <c r="B16" s="90" t="s">
        <v>394</v>
      </c>
      <c r="C16" s="86"/>
      <c r="D16" s="199">
        <v>68948.87</v>
      </c>
      <c r="E16" s="199">
        <v>2000</v>
      </c>
      <c r="F16" s="199">
        <v>2917</v>
      </c>
      <c r="G16" s="199"/>
      <c r="I16" s="344" t="s">
        <v>539</v>
      </c>
      <c r="J16" s="90" t="s">
        <v>394</v>
      </c>
      <c r="K16" s="86"/>
      <c r="L16" s="199">
        <v>70328</v>
      </c>
      <c r="M16" s="199">
        <v>2000</v>
      </c>
      <c r="N16" s="199">
        <v>3246</v>
      </c>
      <c r="O16" s="199"/>
    </row>
    <row r="17" spans="1:15" ht="15.75">
      <c r="A17" s="344" t="s">
        <v>413</v>
      </c>
      <c r="B17" s="90" t="s">
        <v>394</v>
      </c>
      <c r="C17" s="86"/>
      <c r="D17" s="199">
        <v>68948.87</v>
      </c>
      <c r="E17" s="199">
        <v>500</v>
      </c>
      <c r="F17" s="199">
        <v>2917</v>
      </c>
      <c r="G17" s="199"/>
      <c r="I17" s="344" t="s">
        <v>413</v>
      </c>
      <c r="J17" s="90" t="s">
        <v>394</v>
      </c>
      <c r="K17" s="86"/>
      <c r="L17" s="199">
        <v>70328</v>
      </c>
      <c r="M17" s="199">
        <v>500</v>
      </c>
      <c r="N17" s="199">
        <v>3246</v>
      </c>
      <c r="O17" s="199"/>
    </row>
    <row r="18" spans="1:15" ht="15.75">
      <c r="A18" s="344" t="s">
        <v>119</v>
      </c>
      <c r="B18" s="90" t="s">
        <v>123</v>
      </c>
      <c r="C18" s="86"/>
      <c r="D18" s="199">
        <v>82739</v>
      </c>
      <c r="E18" s="199">
        <v>1850</v>
      </c>
      <c r="F18" s="199">
        <v>3501</v>
      </c>
      <c r="G18" s="199">
        <v>9000</v>
      </c>
      <c r="I18" s="344" t="s">
        <v>119</v>
      </c>
      <c r="J18" s="90" t="s">
        <v>123</v>
      </c>
      <c r="K18" s="86"/>
      <c r="L18" s="199">
        <v>84394</v>
      </c>
      <c r="M18" s="199">
        <v>1850</v>
      </c>
      <c r="N18" s="199">
        <v>3895</v>
      </c>
      <c r="O18" s="199">
        <f>4500+4500</f>
        <v>9000</v>
      </c>
    </row>
    <row r="19" spans="1:15" ht="15.75">
      <c r="A19" s="344" t="s">
        <v>130</v>
      </c>
      <c r="B19" s="90" t="s">
        <v>394</v>
      </c>
      <c r="C19" s="86"/>
      <c r="D19" s="199">
        <v>68948.87</v>
      </c>
      <c r="E19" s="199">
        <v>1500</v>
      </c>
      <c r="F19" s="199">
        <v>2917</v>
      </c>
      <c r="G19" s="199">
        <v>3500</v>
      </c>
      <c r="I19" s="344" t="s">
        <v>130</v>
      </c>
      <c r="J19" s="90" t="s">
        <v>394</v>
      </c>
      <c r="K19" s="86"/>
      <c r="L19" s="199">
        <v>70328</v>
      </c>
      <c r="M19" s="199">
        <v>1500</v>
      </c>
      <c r="N19" s="199">
        <v>3246</v>
      </c>
      <c r="O19" s="199">
        <v>3500</v>
      </c>
    </row>
    <row r="20" spans="1:15" ht="15.75">
      <c r="A20" s="344" t="s">
        <v>131</v>
      </c>
      <c r="B20" s="90" t="s">
        <v>394</v>
      </c>
      <c r="C20" s="86"/>
      <c r="D20" s="199">
        <v>82739</v>
      </c>
      <c r="E20" s="199">
        <v>2000</v>
      </c>
      <c r="F20" s="199">
        <v>3501</v>
      </c>
      <c r="G20" s="199"/>
      <c r="I20" s="344" t="s">
        <v>131</v>
      </c>
      <c r="J20" s="90" t="s">
        <v>123</v>
      </c>
      <c r="K20" s="86"/>
      <c r="L20" s="199">
        <v>84394</v>
      </c>
      <c r="M20" s="199">
        <v>2000</v>
      </c>
      <c r="N20" s="199">
        <v>3895</v>
      </c>
      <c r="O20" s="199"/>
    </row>
    <row r="21" spans="1:15" ht="15.75">
      <c r="A21" s="344" t="s">
        <v>414</v>
      </c>
      <c r="B21" s="90" t="s">
        <v>394</v>
      </c>
      <c r="C21" s="86"/>
      <c r="D21" s="199">
        <v>68948.87</v>
      </c>
      <c r="E21" s="199">
        <v>500</v>
      </c>
      <c r="F21" s="199">
        <v>2917</v>
      </c>
      <c r="G21" s="199"/>
      <c r="I21" s="344" t="s">
        <v>414</v>
      </c>
      <c r="J21" s="90" t="s">
        <v>394</v>
      </c>
      <c r="K21" s="86"/>
      <c r="L21" s="199">
        <v>70328</v>
      </c>
      <c r="M21" s="199">
        <v>500</v>
      </c>
      <c r="N21" s="199">
        <v>3246</v>
      </c>
      <c r="O21" s="199"/>
    </row>
    <row r="22" spans="1:15" ht="15.75">
      <c r="A22" s="344" t="s">
        <v>170</v>
      </c>
      <c r="B22" s="90" t="s">
        <v>394</v>
      </c>
      <c r="C22" s="86"/>
      <c r="D22" s="199">
        <v>68948.87</v>
      </c>
      <c r="E22" s="199">
        <v>300</v>
      </c>
      <c r="F22" s="199">
        <v>2917</v>
      </c>
      <c r="G22" s="199"/>
      <c r="I22" s="344" t="s">
        <v>170</v>
      </c>
      <c r="J22" s="90" t="s">
        <v>394</v>
      </c>
      <c r="K22" s="86"/>
      <c r="L22" s="199">
        <v>70328</v>
      </c>
      <c r="M22" s="199">
        <v>500</v>
      </c>
      <c r="N22" s="199">
        <v>3246</v>
      </c>
      <c r="O22" s="199"/>
    </row>
    <row r="23" spans="1:15" ht="15.75">
      <c r="A23" s="344" t="s">
        <v>457</v>
      </c>
      <c r="B23" s="90" t="s">
        <v>394</v>
      </c>
      <c r="C23" s="86"/>
      <c r="D23" s="199">
        <v>68948.87</v>
      </c>
      <c r="E23" s="199">
        <v>300</v>
      </c>
      <c r="F23" s="199">
        <v>2917</v>
      </c>
      <c r="G23" s="199"/>
      <c r="I23" s="344" t="s">
        <v>458</v>
      </c>
      <c r="J23" s="90" t="s">
        <v>394</v>
      </c>
      <c r="K23" s="86"/>
      <c r="L23" s="199">
        <v>70328</v>
      </c>
      <c r="M23" s="199">
        <v>300</v>
      </c>
      <c r="N23" s="199">
        <v>3246</v>
      </c>
      <c r="O23" s="199">
        <v>4500</v>
      </c>
    </row>
    <row r="24" spans="1:15" ht="15.75">
      <c r="A24" s="344" t="s">
        <v>458</v>
      </c>
      <c r="B24" s="90" t="s">
        <v>394</v>
      </c>
      <c r="C24" s="86"/>
      <c r="D24" s="199">
        <v>68948.87</v>
      </c>
      <c r="E24" s="395">
        <v>300</v>
      </c>
      <c r="F24" s="199">
        <v>2917</v>
      </c>
      <c r="G24" s="199">
        <v>4500</v>
      </c>
      <c r="I24" s="344" t="s">
        <v>538</v>
      </c>
      <c r="J24" s="90" t="s">
        <v>394</v>
      </c>
      <c r="K24" s="86"/>
      <c r="L24" s="199">
        <v>70328</v>
      </c>
      <c r="M24" s="395">
        <v>300</v>
      </c>
      <c r="N24" s="199">
        <v>3246</v>
      </c>
      <c r="O24" s="199">
        <v>2500</v>
      </c>
    </row>
    <row r="25" spans="1:15" ht="15.75">
      <c r="A25" s="344" t="s">
        <v>538</v>
      </c>
      <c r="B25" s="90" t="s">
        <v>394</v>
      </c>
      <c r="C25" s="86"/>
      <c r="D25" s="199">
        <v>68948.87</v>
      </c>
      <c r="E25" s="199">
        <v>300</v>
      </c>
      <c r="F25" s="199">
        <v>2917</v>
      </c>
      <c r="G25" s="199">
        <v>2500</v>
      </c>
      <c r="I25" s="344" t="s">
        <v>537</v>
      </c>
      <c r="J25" s="90" t="s">
        <v>394</v>
      </c>
      <c r="K25" s="86"/>
      <c r="L25" s="199">
        <v>70328</v>
      </c>
      <c r="M25" s="199">
        <v>300</v>
      </c>
      <c r="N25" s="199">
        <v>3246</v>
      </c>
      <c r="O25" s="199"/>
    </row>
    <row r="26" spans="1:15" ht="15.75">
      <c r="A26" s="344" t="s">
        <v>537</v>
      </c>
      <c r="B26" s="90" t="s">
        <v>394</v>
      </c>
      <c r="C26" s="86"/>
      <c r="D26" s="199">
        <v>68948.87</v>
      </c>
      <c r="E26" s="199">
        <v>300</v>
      </c>
      <c r="F26" s="297">
        <v>2917</v>
      </c>
      <c r="G26" s="199"/>
      <c r="I26" s="344" t="s">
        <v>536</v>
      </c>
      <c r="J26" s="90" t="s">
        <v>394</v>
      </c>
      <c r="K26" s="86"/>
      <c r="L26" s="199">
        <v>70328</v>
      </c>
      <c r="M26" s="199">
        <v>300</v>
      </c>
      <c r="N26" s="297">
        <v>3246</v>
      </c>
      <c r="O26" s="199"/>
    </row>
    <row r="27" spans="1:15" ht="15.75">
      <c r="A27" s="344" t="s">
        <v>536</v>
      </c>
      <c r="B27" s="90" t="s">
        <v>394</v>
      </c>
      <c r="C27" s="86"/>
      <c r="D27" s="199">
        <v>68948.87</v>
      </c>
      <c r="E27" s="199">
        <v>300</v>
      </c>
      <c r="F27" s="199">
        <v>2917</v>
      </c>
      <c r="G27" s="199"/>
      <c r="I27" s="344" t="s">
        <v>572</v>
      </c>
      <c r="J27" s="90" t="s">
        <v>394</v>
      </c>
      <c r="K27" s="86"/>
      <c r="L27" s="199">
        <v>70328</v>
      </c>
      <c r="M27" s="199">
        <v>300</v>
      </c>
      <c r="N27" s="199">
        <v>3246</v>
      </c>
      <c r="O27" s="199"/>
    </row>
    <row r="28" spans="1:15" ht="15.75">
      <c r="A28" s="344" t="s">
        <v>571</v>
      </c>
      <c r="B28" s="90" t="s">
        <v>394</v>
      </c>
      <c r="C28" s="86"/>
      <c r="D28" s="199">
        <v>68948.87</v>
      </c>
      <c r="E28" s="199"/>
      <c r="F28" s="199">
        <v>2917</v>
      </c>
      <c r="G28" s="199"/>
      <c r="I28" s="344" t="s">
        <v>606</v>
      </c>
      <c r="J28" s="90" t="s">
        <v>394</v>
      </c>
      <c r="K28" s="86"/>
      <c r="L28" s="199">
        <v>70328</v>
      </c>
      <c r="M28" s="199">
        <v>0</v>
      </c>
      <c r="N28" s="199">
        <v>3246</v>
      </c>
      <c r="O28" s="199"/>
    </row>
    <row r="29" spans="1:15" ht="15" customHeight="1">
      <c r="A29" s="344" t="s">
        <v>572</v>
      </c>
      <c r="B29" s="90" t="s">
        <v>394</v>
      </c>
      <c r="C29" s="86"/>
      <c r="D29" s="199">
        <v>68948.87</v>
      </c>
      <c r="E29" s="199"/>
      <c r="F29" s="199">
        <v>2917</v>
      </c>
      <c r="G29" s="395"/>
      <c r="I29" s="344" t="s">
        <v>569</v>
      </c>
      <c r="J29" s="90" t="s">
        <v>394</v>
      </c>
      <c r="K29" s="86"/>
      <c r="L29" s="199">
        <v>67623</v>
      </c>
      <c r="M29" s="199">
        <v>0</v>
      </c>
      <c r="N29" s="199">
        <v>3121</v>
      </c>
      <c r="O29" s="395"/>
    </row>
    <row r="30" spans="1:15" ht="15.75" customHeight="1">
      <c r="A30" s="344" t="s">
        <v>606</v>
      </c>
      <c r="B30" s="90" t="s">
        <v>394</v>
      </c>
      <c r="C30" s="86"/>
      <c r="D30" s="199">
        <v>66296.990000000005</v>
      </c>
      <c r="E30" s="199"/>
      <c r="F30" s="199">
        <v>2917</v>
      </c>
      <c r="G30" s="199"/>
      <c r="I30" s="344" t="s">
        <v>607</v>
      </c>
      <c r="J30" s="90" t="s">
        <v>394</v>
      </c>
      <c r="K30" s="86"/>
      <c r="L30" s="199">
        <v>67623</v>
      </c>
      <c r="M30" s="199">
        <v>0</v>
      </c>
      <c r="N30" s="199">
        <v>3121</v>
      </c>
      <c r="O30" s="199"/>
    </row>
    <row r="31" spans="1:15" ht="12.75" customHeight="1">
      <c r="A31" s="344" t="s">
        <v>569</v>
      </c>
      <c r="B31" s="90" t="s">
        <v>394</v>
      </c>
      <c r="C31" s="86"/>
      <c r="D31" s="199">
        <v>63747.11</v>
      </c>
      <c r="E31" s="199"/>
      <c r="F31" s="199">
        <v>2697</v>
      </c>
      <c r="G31" s="199"/>
      <c r="I31" s="344" t="s">
        <v>608</v>
      </c>
      <c r="J31" s="90" t="s">
        <v>394</v>
      </c>
      <c r="K31" s="86"/>
      <c r="L31" s="199">
        <v>67623</v>
      </c>
      <c r="M31" s="199">
        <v>0</v>
      </c>
      <c r="N31" s="199">
        <v>3121</v>
      </c>
      <c r="O31" s="199"/>
    </row>
    <row r="32" spans="1:15" ht="13.5" customHeight="1">
      <c r="A32" s="344" t="s">
        <v>607</v>
      </c>
      <c r="B32" s="90" t="s">
        <v>394</v>
      </c>
      <c r="C32" s="86"/>
      <c r="D32" s="199">
        <v>63747.11</v>
      </c>
      <c r="E32" s="199"/>
      <c r="F32" s="199">
        <v>2697</v>
      </c>
      <c r="G32" s="199"/>
      <c r="I32" s="344" t="s">
        <v>632</v>
      </c>
      <c r="J32" s="90" t="s">
        <v>394</v>
      </c>
      <c r="K32" s="86"/>
      <c r="L32" s="199">
        <v>65022</v>
      </c>
      <c r="M32" s="199">
        <v>0</v>
      </c>
      <c r="N32" s="199">
        <v>3001</v>
      </c>
      <c r="O32" s="199"/>
    </row>
    <row r="33" spans="1:16" ht="14.25" customHeight="1">
      <c r="A33" s="344" t="s">
        <v>608</v>
      </c>
      <c r="B33" s="90" t="s">
        <v>394</v>
      </c>
      <c r="C33" s="86"/>
      <c r="D33" s="199">
        <v>63747.11</v>
      </c>
      <c r="E33" s="199"/>
      <c r="F33" s="297">
        <v>2697</v>
      </c>
      <c r="G33" s="396"/>
      <c r="I33" s="344" t="s">
        <v>633</v>
      </c>
      <c r="J33" s="90" t="s">
        <v>394</v>
      </c>
      <c r="K33" s="86"/>
      <c r="L33" s="199">
        <v>65022</v>
      </c>
      <c r="M33" s="199">
        <v>0</v>
      </c>
      <c r="N33" s="297">
        <v>3001</v>
      </c>
      <c r="O33" s="396"/>
    </row>
    <row r="34" spans="1:16" ht="14.25" customHeight="1">
      <c r="A34" s="344" t="s">
        <v>609</v>
      </c>
      <c r="B34" s="90" t="s">
        <v>394</v>
      </c>
      <c r="C34" s="86"/>
      <c r="D34" s="199">
        <v>68948.87</v>
      </c>
      <c r="E34" s="199"/>
      <c r="F34" s="199">
        <v>2697</v>
      </c>
      <c r="G34" s="199"/>
      <c r="I34" s="344" t="s">
        <v>634</v>
      </c>
      <c r="J34" s="90" t="s">
        <v>394</v>
      </c>
      <c r="K34" s="86"/>
      <c r="L34" s="199">
        <v>64595</v>
      </c>
      <c r="M34" s="199">
        <v>0</v>
      </c>
      <c r="N34" s="199">
        <f>+L34/52*2.2</f>
        <v>2732.8653846153852</v>
      </c>
      <c r="O34" s="199"/>
    </row>
    <row r="35" spans="1:16" ht="15.75">
      <c r="A35" s="344" t="s">
        <v>632</v>
      </c>
      <c r="B35" s="90" t="s">
        <v>394</v>
      </c>
      <c r="C35" s="86"/>
      <c r="D35" s="199">
        <v>63747.11</v>
      </c>
      <c r="E35" s="199"/>
      <c r="F35" s="199">
        <v>2697</v>
      </c>
      <c r="G35" s="199"/>
      <c r="H35" s="86"/>
      <c r="I35" s="344" t="s">
        <v>634</v>
      </c>
      <c r="J35" s="90" t="s">
        <v>394</v>
      </c>
      <c r="K35" s="86"/>
      <c r="L35" s="199">
        <v>64595</v>
      </c>
      <c r="M35" s="199">
        <v>0</v>
      </c>
      <c r="N35" s="199">
        <f t="shared" ref="N35:N38" si="0">+L35/52*2.2</f>
        <v>2732.8653846153852</v>
      </c>
      <c r="O35" s="199"/>
    </row>
    <row r="36" spans="1:16" ht="15.75">
      <c r="A36" s="344" t="s">
        <v>633</v>
      </c>
      <c r="B36" s="90" t="s">
        <v>394</v>
      </c>
      <c r="C36" s="86"/>
      <c r="D36" s="199">
        <v>63747.11</v>
      </c>
      <c r="E36" s="199"/>
      <c r="F36" s="199">
        <v>2697</v>
      </c>
      <c r="G36" s="199"/>
      <c r="H36" s="86"/>
      <c r="I36" s="344" t="s">
        <v>634</v>
      </c>
      <c r="J36" s="90" t="s">
        <v>394</v>
      </c>
      <c r="K36" s="86"/>
      <c r="L36" s="199">
        <v>64595</v>
      </c>
      <c r="M36" s="199">
        <v>0</v>
      </c>
      <c r="N36" s="199">
        <f t="shared" si="0"/>
        <v>2732.8653846153852</v>
      </c>
      <c r="O36" s="199"/>
    </row>
    <row r="37" spans="1:16" ht="15.75">
      <c r="A37" s="344" t="s">
        <v>634</v>
      </c>
      <c r="B37" s="90"/>
      <c r="C37" s="88"/>
      <c r="D37" s="199">
        <v>58788</v>
      </c>
      <c r="E37" s="199"/>
      <c r="F37" s="297">
        <v>2487</v>
      </c>
      <c r="G37" s="199"/>
      <c r="H37" s="86"/>
      <c r="I37" s="344" t="s">
        <v>634</v>
      </c>
      <c r="J37" s="90" t="s">
        <v>394</v>
      </c>
      <c r="K37" s="88"/>
      <c r="L37" s="199">
        <v>64595</v>
      </c>
      <c r="M37" s="199">
        <v>0</v>
      </c>
      <c r="N37" s="199">
        <f t="shared" si="0"/>
        <v>2732.8653846153852</v>
      </c>
      <c r="O37" s="199"/>
    </row>
    <row r="38" spans="1:16" ht="15.75">
      <c r="A38" s="344" t="s">
        <v>634</v>
      </c>
      <c r="B38" s="90"/>
      <c r="C38" s="86"/>
      <c r="D38" s="199">
        <f>53829-1</f>
        <v>53828</v>
      </c>
      <c r="E38" s="199"/>
      <c r="F38" s="297">
        <v>2277</v>
      </c>
      <c r="G38" s="199"/>
      <c r="H38" s="86"/>
      <c r="I38" s="344" t="s">
        <v>634</v>
      </c>
      <c r="J38" s="90" t="s">
        <v>394</v>
      </c>
      <c r="K38" s="86"/>
      <c r="L38" s="199">
        <v>64595</v>
      </c>
      <c r="M38" s="199">
        <v>0</v>
      </c>
      <c r="N38" s="199">
        <f t="shared" si="0"/>
        <v>2732.8653846153852</v>
      </c>
      <c r="O38" s="199"/>
    </row>
    <row r="39" spans="1:16" ht="15.75">
      <c r="A39" s="344" t="s">
        <v>120</v>
      </c>
      <c r="B39" s="90"/>
      <c r="C39" s="86"/>
      <c r="D39" s="199">
        <v>61582.400000000001</v>
      </c>
      <c r="E39" s="199">
        <v>1250</v>
      </c>
      <c r="F39" s="297"/>
      <c r="G39" s="199"/>
      <c r="I39" s="344" t="s">
        <v>634</v>
      </c>
      <c r="J39" s="90" t="s">
        <v>394</v>
      </c>
      <c r="K39" s="86"/>
      <c r="L39" s="199">
        <v>55170</v>
      </c>
      <c r="M39" s="199">
        <v>0</v>
      </c>
      <c r="N39" s="297">
        <v>3248</v>
      </c>
      <c r="O39" s="199"/>
    </row>
    <row r="40" spans="1:16" ht="15.75">
      <c r="A40" s="344"/>
      <c r="B40" s="90"/>
      <c r="C40" s="86"/>
      <c r="D40" s="199"/>
      <c r="E40" s="199"/>
      <c r="F40" s="199"/>
      <c r="G40" s="199"/>
      <c r="I40" s="344" t="s">
        <v>634</v>
      </c>
      <c r="J40" s="90" t="s">
        <v>394</v>
      </c>
      <c r="K40" s="86"/>
      <c r="L40" s="199">
        <v>55169</v>
      </c>
      <c r="M40" s="199"/>
      <c r="N40" s="199">
        <f>6495-3248</f>
        <v>3247</v>
      </c>
      <c r="O40" s="199"/>
    </row>
    <row r="41" spans="1:16" ht="15.75">
      <c r="A41" s="344"/>
      <c r="B41" s="90"/>
      <c r="C41" s="86"/>
      <c r="D41" s="206">
        <f>SUM(D6:D40)</f>
        <v>2477401.6800000011</v>
      </c>
      <c r="E41" s="206">
        <f>SUM(E6:E40)</f>
        <v>23750</v>
      </c>
      <c r="F41" s="206">
        <f>SUM(F6:F40)</f>
        <v>100989.06</v>
      </c>
      <c r="G41" s="206">
        <f>SUM(G6:G40)</f>
        <v>31500</v>
      </c>
      <c r="H41" s="205"/>
      <c r="I41" s="344" t="s">
        <v>120</v>
      </c>
      <c r="J41" s="90"/>
      <c r="K41" s="86"/>
      <c r="L41" s="199">
        <v>61582</v>
      </c>
      <c r="M41" s="199">
        <v>1250</v>
      </c>
      <c r="N41" s="297">
        <v>0</v>
      </c>
      <c r="O41" s="199"/>
    </row>
    <row r="42" spans="1:16" ht="15.75">
      <c r="A42" s="342" t="s">
        <v>96</v>
      </c>
      <c r="B42" s="86"/>
      <c r="C42" s="86"/>
      <c r="D42" s="207"/>
      <c r="E42" s="85"/>
      <c r="F42" s="199"/>
      <c r="I42" s="344"/>
      <c r="J42" s="90"/>
      <c r="K42" s="86"/>
      <c r="L42" s="199"/>
      <c r="M42" s="199"/>
      <c r="N42" s="199"/>
      <c r="O42" s="199"/>
    </row>
    <row r="43" spans="1:16" ht="15.75">
      <c r="A43" s="344" t="s">
        <v>45</v>
      </c>
      <c r="B43" s="86"/>
      <c r="C43" s="86"/>
      <c r="D43" s="207"/>
      <c r="E43" s="207">
        <f>+D6</f>
        <v>185298</v>
      </c>
      <c r="F43" s="298">
        <v>5111</v>
      </c>
      <c r="I43" s="344"/>
      <c r="J43" s="90"/>
      <c r="K43" s="86"/>
      <c r="L43" s="206">
        <f>SUM(L8:L42)</f>
        <v>2456887</v>
      </c>
      <c r="M43" s="206">
        <f>SUM(M6:M42)</f>
        <v>24950</v>
      </c>
      <c r="N43" s="206">
        <f>SUM(N6:N42)</f>
        <v>119564.32692307695</v>
      </c>
      <c r="O43" s="206">
        <f>SUM(O8:O42)</f>
        <v>31500</v>
      </c>
    </row>
    <row r="44" spans="1:16" ht="15.75">
      <c r="A44" s="344" t="s">
        <v>46</v>
      </c>
      <c r="B44" s="86"/>
      <c r="C44" s="86"/>
      <c r="D44" s="207"/>
      <c r="E44" s="207">
        <f>ROUNDUP(SUM(D8:D40),0)</f>
        <v>2292104</v>
      </c>
      <c r="F44" s="298">
        <v>5112</v>
      </c>
      <c r="I44" s="342" t="s">
        <v>96</v>
      </c>
      <c r="J44" s="86"/>
      <c r="K44" s="86"/>
      <c r="L44" s="207"/>
      <c r="M44" s="85"/>
      <c r="N44" s="199"/>
      <c r="P44" s="307"/>
    </row>
    <row r="45" spans="1:16" ht="15.75">
      <c r="A45" s="344" t="s">
        <v>48</v>
      </c>
      <c r="B45" s="86"/>
      <c r="C45" s="86"/>
      <c r="D45" s="207"/>
      <c r="E45" s="207">
        <f>352949-8000</f>
        <v>344949</v>
      </c>
      <c r="F45" s="298">
        <v>5130</v>
      </c>
      <c r="I45" s="344" t="s">
        <v>45</v>
      </c>
      <c r="J45" s="86"/>
      <c r="K45" s="86"/>
      <c r="L45" s="207"/>
      <c r="M45" s="199">
        <f>+L6</f>
        <v>191775</v>
      </c>
      <c r="N45" s="298">
        <v>5111</v>
      </c>
      <c r="P45" s="307"/>
    </row>
    <row r="46" spans="1:16" ht="15.75">
      <c r="A46" s="344" t="s">
        <v>373</v>
      </c>
      <c r="B46" s="86"/>
      <c r="C46" s="86"/>
      <c r="D46" s="207"/>
      <c r="E46" s="207">
        <f>15003+78128+9319</f>
        <v>102450</v>
      </c>
      <c r="F46" s="298" t="s">
        <v>386</v>
      </c>
      <c r="I46" s="344" t="s">
        <v>46</v>
      </c>
      <c r="J46" s="86"/>
      <c r="K46" s="86"/>
      <c r="L46" s="207"/>
      <c r="M46" s="199">
        <f>ROUNDUP(SUM(L8:L42),0)</f>
        <v>2456887</v>
      </c>
      <c r="N46" s="298">
        <v>5112</v>
      </c>
      <c r="P46" s="307"/>
    </row>
    <row r="47" spans="1:16" ht="15.75">
      <c r="A47" s="344" t="s">
        <v>395</v>
      </c>
      <c r="B47" s="86"/>
      <c r="C47" s="86"/>
      <c r="D47" s="207"/>
      <c r="E47" s="207">
        <f>+F41+3</f>
        <v>100992.06</v>
      </c>
      <c r="F47" s="298" t="s">
        <v>450</v>
      </c>
      <c r="I47" s="344" t="s">
        <v>48</v>
      </c>
      <c r="J47" s="86"/>
      <c r="K47" s="86"/>
      <c r="L47" s="207"/>
      <c r="M47" s="199">
        <v>355298</v>
      </c>
      <c r="N47" s="298">
        <v>5130</v>
      </c>
    </row>
    <row r="48" spans="1:16" ht="15.75">
      <c r="A48" s="344" t="s">
        <v>360</v>
      </c>
      <c r="B48" s="86"/>
      <c r="C48" s="86"/>
      <c r="D48" s="207"/>
      <c r="E48" s="207">
        <v>31500</v>
      </c>
      <c r="F48" s="298" t="s">
        <v>385</v>
      </c>
      <c r="I48" s="344" t="s">
        <v>373</v>
      </c>
      <c r="J48" s="86"/>
      <c r="K48" s="86"/>
      <c r="L48" s="207"/>
      <c r="M48" s="199">
        <f>103632+6956</f>
        <v>110588</v>
      </c>
      <c r="N48" s="298" t="s">
        <v>386</v>
      </c>
    </row>
    <row r="49" spans="1:14" ht="15.75">
      <c r="A49" s="344" t="s">
        <v>359</v>
      </c>
      <c r="B49" s="86"/>
      <c r="C49" s="86"/>
      <c r="D49" s="207"/>
      <c r="E49" s="207">
        <f>1825+11406+0</f>
        <v>13231</v>
      </c>
      <c r="F49" s="298" t="s">
        <v>384</v>
      </c>
      <c r="I49" s="344" t="s">
        <v>395</v>
      </c>
      <c r="J49" s="86"/>
      <c r="K49" s="86"/>
      <c r="L49" s="207"/>
      <c r="M49" s="199">
        <f>+N43</f>
        <v>119564.32692307695</v>
      </c>
      <c r="N49" s="298" t="s">
        <v>450</v>
      </c>
    </row>
    <row r="50" spans="1:14" ht="15.75">
      <c r="A50" s="344" t="s">
        <v>357</v>
      </c>
      <c r="B50" s="86"/>
      <c r="C50" s="86"/>
      <c r="D50" s="207"/>
      <c r="E50" s="207">
        <v>23750</v>
      </c>
      <c r="F50" s="298" t="s">
        <v>382</v>
      </c>
      <c r="I50" s="344" t="s">
        <v>360</v>
      </c>
      <c r="J50" s="86"/>
      <c r="K50" s="86"/>
      <c r="L50" s="207"/>
      <c r="M50" s="199">
        <f>+O43</f>
        <v>31500</v>
      </c>
      <c r="N50" s="298" t="s">
        <v>385</v>
      </c>
    </row>
    <row r="51" spans="1:14" ht="15.75">
      <c r="A51" s="344" t="s">
        <v>361</v>
      </c>
      <c r="B51" s="86"/>
      <c r="C51" s="86"/>
      <c r="D51" s="207"/>
      <c r="E51" s="207">
        <v>6400</v>
      </c>
      <c r="F51" s="298">
        <v>5176</v>
      </c>
      <c r="I51" s="344" t="s">
        <v>359</v>
      </c>
      <c r="J51" s="86"/>
      <c r="K51" s="86"/>
      <c r="L51" s="207"/>
      <c r="M51" s="199">
        <f>13232+912</f>
        <v>14144</v>
      </c>
      <c r="N51" s="298" t="s">
        <v>384</v>
      </c>
    </row>
    <row r="52" spans="1:14" ht="15.75">
      <c r="A52" s="413" t="s">
        <v>362</v>
      </c>
      <c r="B52" s="414"/>
      <c r="C52" s="414"/>
      <c r="D52" s="208"/>
      <c r="E52" s="208">
        <v>326200</v>
      </c>
      <c r="F52" s="415" t="s">
        <v>383</v>
      </c>
      <c r="I52" s="344" t="s">
        <v>357</v>
      </c>
      <c r="J52" s="86"/>
      <c r="K52" s="86"/>
      <c r="L52" s="207"/>
      <c r="M52" s="199">
        <f>+M43</f>
        <v>24950</v>
      </c>
      <c r="N52" s="298" t="s">
        <v>382</v>
      </c>
    </row>
    <row r="53" spans="1:14" ht="15.75">
      <c r="A53" s="344" t="s">
        <v>368</v>
      </c>
      <c r="B53" s="86"/>
      <c r="C53" s="86"/>
      <c r="D53" s="208"/>
      <c r="E53" s="208">
        <f>372300-326200</f>
        <v>46100</v>
      </c>
      <c r="F53" s="298" t="s">
        <v>383</v>
      </c>
      <c r="I53" s="344" t="s">
        <v>361</v>
      </c>
      <c r="J53" s="86"/>
      <c r="K53" s="86"/>
      <c r="L53" s="207"/>
      <c r="M53" s="199">
        <f>6400+600</f>
        <v>7000</v>
      </c>
      <c r="N53" s="298">
        <v>5176</v>
      </c>
    </row>
    <row r="54" spans="1:14" ht="15.75">
      <c r="A54" s="344" t="s">
        <v>363</v>
      </c>
      <c r="B54" s="86"/>
      <c r="C54" s="86"/>
      <c r="D54" s="208"/>
      <c r="E54" s="208">
        <v>157421</v>
      </c>
      <c r="F54" s="298" t="s">
        <v>387</v>
      </c>
      <c r="I54" s="413" t="s">
        <v>362</v>
      </c>
      <c r="J54" s="414"/>
      <c r="K54" s="414"/>
      <c r="L54" s="208"/>
      <c r="M54" s="474">
        <f>326200+23200</f>
        <v>349400</v>
      </c>
      <c r="N54" s="415" t="s">
        <v>383</v>
      </c>
    </row>
    <row r="55" spans="1:14" ht="15.75">
      <c r="A55" s="344" t="s">
        <v>345</v>
      </c>
      <c r="B55" s="86"/>
      <c r="C55" s="86"/>
      <c r="D55" s="208"/>
      <c r="E55" s="208">
        <v>20000</v>
      </c>
      <c r="F55" s="298"/>
      <c r="I55" s="344" t="s">
        <v>368</v>
      </c>
      <c r="J55" s="86"/>
      <c r="K55" s="86"/>
      <c r="L55" s="208"/>
      <c r="M55" s="474" t="s">
        <v>0</v>
      </c>
      <c r="N55" s="298" t="s">
        <v>383</v>
      </c>
    </row>
    <row r="56" spans="1:14" ht="15.75">
      <c r="A56" s="344"/>
      <c r="B56" s="86"/>
      <c r="C56" s="86"/>
      <c r="D56" s="208"/>
      <c r="E56" s="207"/>
      <c r="F56" s="247"/>
      <c r="I56" s="344" t="s">
        <v>363</v>
      </c>
      <c r="J56" s="86"/>
      <c r="K56" s="86"/>
      <c r="L56" s="208"/>
      <c r="M56" s="474">
        <f>160236+13756</f>
        <v>173992</v>
      </c>
      <c r="N56" s="298" t="s">
        <v>387</v>
      </c>
    </row>
    <row r="57" spans="1:14" ht="15.75">
      <c r="A57" s="344"/>
      <c r="B57" s="86"/>
      <c r="C57" s="86"/>
      <c r="D57" s="208"/>
      <c r="E57" s="208"/>
      <c r="F57" s="247"/>
      <c r="I57" s="344" t="s">
        <v>345</v>
      </c>
      <c r="J57" s="86"/>
      <c r="K57" s="86"/>
      <c r="L57" s="208"/>
      <c r="M57" s="474">
        <v>20000</v>
      </c>
      <c r="N57" s="298"/>
    </row>
    <row r="58" spans="1:14" ht="15.75">
      <c r="A58" s="345" t="s">
        <v>337</v>
      </c>
      <c r="B58" s="86"/>
      <c r="C58" s="86"/>
      <c r="D58" s="206"/>
      <c r="E58" s="206">
        <f>ROUNDUP(SUM(E42:E56),0)</f>
        <v>3650396</v>
      </c>
      <c r="F58" s="199"/>
      <c r="I58" s="344" t="s">
        <v>52</v>
      </c>
      <c r="J58" s="86"/>
      <c r="K58" s="86"/>
      <c r="L58" s="208"/>
      <c r="M58" s="475">
        <v>62970</v>
      </c>
      <c r="N58" s="247"/>
    </row>
    <row r="59" spans="1:14" ht="15.75">
      <c r="A59" s="53"/>
      <c r="I59" s="344"/>
      <c r="J59" s="86"/>
      <c r="K59" s="86"/>
      <c r="L59" s="208"/>
      <c r="M59" s="208"/>
      <c r="N59" s="247"/>
    </row>
    <row r="60" spans="1:14" ht="15.75">
      <c r="A60" s="53"/>
      <c r="B60" s="60" t="s">
        <v>529</v>
      </c>
      <c r="I60" s="345" t="s">
        <v>337</v>
      </c>
      <c r="J60" s="86"/>
      <c r="K60" s="86"/>
      <c r="L60" s="206"/>
      <c r="M60" s="206">
        <f>ROUNDUP(SUM(M44:M58),0)</f>
        <v>3918069</v>
      </c>
      <c r="N60" s="199"/>
    </row>
    <row r="61" spans="1:14" ht="15.75">
      <c r="A61" s="53"/>
      <c r="B61" s="60" t="s">
        <v>625</v>
      </c>
      <c r="I61" s="53"/>
      <c r="M61" s="205"/>
    </row>
    <row r="62" spans="1:14">
      <c r="A62" s="340"/>
      <c r="B62" s="313" t="s">
        <v>97</v>
      </c>
      <c r="H62" s="62"/>
      <c r="I62" s="53"/>
      <c r="J62" s="60" t="s">
        <v>529</v>
      </c>
    </row>
    <row r="63" spans="1:14">
      <c r="A63" s="340"/>
      <c r="I63" s="53"/>
      <c r="J63" s="60" t="s">
        <v>664</v>
      </c>
    </row>
    <row r="64" spans="1:14">
      <c r="I64" s="340"/>
      <c r="J64" s="313" t="s">
        <v>97</v>
      </c>
    </row>
    <row r="65" spans="9:10">
      <c r="I65" s="53"/>
      <c r="J65" s="60"/>
    </row>
  </sheetData>
  <sortState ref="I6:O39">
    <sortCondition ref="I9:I39"/>
  </sortState>
  <phoneticPr fontId="0" type="noConversion"/>
  <printOptions horizontalCentered="1" gridLines="1"/>
  <pageMargins left="0.45" right="0.35" top="0.75" bottom="1" header="0.3" footer="0.3"/>
  <pageSetup scale="51" orientation="landscape" r:id="rId1"/>
  <headerFooter>
    <oddFooter>&amp;L&amp;D FY25 Budget&amp;CPage 25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1"/>
  <sheetViews>
    <sheetView zoomScalePageLayoutView="125" workbookViewId="0">
      <selection activeCell="H26" sqref="H26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15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5">
      <c r="A2" s="30" t="s">
        <v>533</v>
      </c>
    </row>
    <row r="3" spans="1:15">
      <c r="A3" s="30" t="s">
        <v>532</v>
      </c>
    </row>
    <row r="4" spans="1:15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5">
      <c r="A6" s="34" t="s">
        <v>38</v>
      </c>
    </row>
    <row r="7" spans="1:15">
      <c r="A7" s="35" t="s">
        <v>1</v>
      </c>
      <c r="B7" s="24" t="s">
        <v>45</v>
      </c>
      <c r="D7" s="376">
        <v>90307</v>
      </c>
      <c r="E7" s="376">
        <v>110000</v>
      </c>
      <c r="F7" s="201">
        <v>117501</v>
      </c>
      <c r="G7" s="201">
        <f>'Pers 241'!N16</f>
        <v>121608</v>
      </c>
      <c r="H7" s="201">
        <v>121608</v>
      </c>
      <c r="I7" s="201"/>
    </row>
    <row r="8" spans="1:15">
      <c r="A8" s="35" t="s">
        <v>2</v>
      </c>
      <c r="B8" s="24" t="s">
        <v>46</v>
      </c>
      <c r="D8" s="376">
        <v>117365</v>
      </c>
      <c r="E8" s="376">
        <v>131571</v>
      </c>
      <c r="F8" s="201">
        <v>139863</v>
      </c>
      <c r="G8" s="376">
        <v>152110</v>
      </c>
      <c r="H8" s="201">
        <v>152110</v>
      </c>
      <c r="I8" s="201"/>
    </row>
    <row r="9" spans="1:15">
      <c r="A9" s="74">
        <v>5120</v>
      </c>
      <c r="B9" s="24" t="s">
        <v>109</v>
      </c>
      <c r="D9" s="376">
        <v>1080</v>
      </c>
      <c r="E9" s="376">
        <v>1575</v>
      </c>
      <c r="F9" s="201">
        <v>3000</v>
      </c>
      <c r="G9" s="201">
        <v>12500</v>
      </c>
      <c r="H9" s="201">
        <v>12500</v>
      </c>
      <c r="I9" s="201"/>
    </row>
    <row r="10" spans="1:15">
      <c r="A10" s="35" t="s">
        <v>382</v>
      </c>
      <c r="B10" s="24" t="s">
        <v>91</v>
      </c>
      <c r="D10" s="376">
        <v>3300</v>
      </c>
      <c r="E10" s="376">
        <v>3300</v>
      </c>
      <c r="F10" s="201">
        <v>3300</v>
      </c>
      <c r="G10" s="201">
        <f>'Pers 241'!N19</f>
        <v>3300</v>
      </c>
      <c r="H10" s="201">
        <v>3300</v>
      </c>
      <c r="I10" s="201"/>
    </row>
    <row r="11" spans="1:15">
      <c r="A11" s="74">
        <v>5192</v>
      </c>
      <c r="B11" s="24" t="s">
        <v>342</v>
      </c>
      <c r="D11" s="376">
        <v>0</v>
      </c>
      <c r="E11" s="376">
        <v>0</v>
      </c>
      <c r="F11" s="201">
        <v>0</v>
      </c>
      <c r="G11" s="201">
        <v>2328</v>
      </c>
      <c r="H11" s="201">
        <v>2328</v>
      </c>
      <c r="I11" s="201"/>
    </row>
    <row r="12" spans="1:15">
      <c r="A12" s="35" t="s">
        <v>10</v>
      </c>
      <c r="B12" s="24" t="s">
        <v>271</v>
      </c>
      <c r="D12" s="302">
        <v>0</v>
      </c>
      <c r="E12" s="302">
        <v>0</v>
      </c>
      <c r="F12" s="201">
        <v>0</v>
      </c>
      <c r="G12" s="201">
        <f>'Pers 241'!N21</f>
        <v>1395</v>
      </c>
      <c r="H12" s="201">
        <v>1395</v>
      </c>
      <c r="I12" s="296"/>
    </row>
    <row r="13" spans="1:15">
      <c r="A13" s="35"/>
      <c r="D13" s="377">
        <f t="shared" ref="D13:I13" si="0">SUM(D7:D12)</f>
        <v>212052</v>
      </c>
      <c r="E13" s="377">
        <f t="shared" si="0"/>
        <v>246446</v>
      </c>
      <c r="F13" s="295">
        <f t="shared" si="0"/>
        <v>263664</v>
      </c>
      <c r="G13" s="295">
        <f t="shared" si="0"/>
        <v>293241</v>
      </c>
      <c r="H13" s="295">
        <f>SUM(H7:H12)</f>
        <v>293241</v>
      </c>
      <c r="I13" s="295">
        <f t="shared" si="0"/>
        <v>0</v>
      </c>
      <c r="O13" s="6"/>
    </row>
    <row r="14" spans="1:15">
      <c r="A14" s="30" t="s">
        <v>44</v>
      </c>
      <c r="D14" s="376"/>
      <c r="E14" s="376"/>
      <c r="F14" s="201"/>
      <c r="G14" s="71"/>
      <c r="H14" s="201"/>
      <c r="I14" s="201"/>
    </row>
    <row r="15" spans="1:15">
      <c r="A15" s="60">
        <v>5300</v>
      </c>
      <c r="B15" s="24" t="s">
        <v>399</v>
      </c>
      <c r="D15" s="376">
        <v>0</v>
      </c>
      <c r="E15" s="376">
        <v>0</v>
      </c>
      <c r="F15" s="201">
        <v>0</v>
      </c>
      <c r="G15" s="382">
        <v>0</v>
      </c>
      <c r="H15" s="201">
        <v>0</v>
      </c>
      <c r="I15" s="201"/>
    </row>
    <row r="16" spans="1:15">
      <c r="A16" s="35" t="s">
        <v>16</v>
      </c>
      <c r="B16" s="24" t="s">
        <v>56</v>
      </c>
      <c r="D16" s="376">
        <v>49</v>
      </c>
      <c r="E16" s="376">
        <v>635</v>
      </c>
      <c r="F16" s="201">
        <v>1000</v>
      </c>
      <c r="G16" s="71">
        <v>5000</v>
      </c>
      <c r="H16" s="71">
        <v>5000</v>
      </c>
      <c r="I16" s="201"/>
    </row>
    <row r="17" spans="1:59">
      <c r="A17" s="74">
        <v>5782</v>
      </c>
      <c r="B17" s="24" t="s">
        <v>76</v>
      </c>
      <c r="D17" s="376">
        <v>0</v>
      </c>
      <c r="E17" s="376">
        <v>0</v>
      </c>
      <c r="F17" s="201">
        <v>0</v>
      </c>
      <c r="G17" s="201">
        <v>1500</v>
      </c>
      <c r="H17" s="201">
        <v>1500</v>
      </c>
      <c r="I17" s="201"/>
    </row>
    <row r="18" spans="1:59">
      <c r="A18" s="35"/>
      <c r="D18" s="377">
        <f>SUM(D15:D17)</f>
        <v>49</v>
      </c>
      <c r="E18" s="377">
        <f t="shared" ref="E18:I18" si="1">SUM(E15:E17)</f>
        <v>635</v>
      </c>
      <c r="F18" s="377">
        <f t="shared" si="1"/>
        <v>1000</v>
      </c>
      <c r="G18" s="377">
        <f t="shared" si="1"/>
        <v>6500</v>
      </c>
      <c r="H18" s="377">
        <f t="shared" si="1"/>
        <v>6500</v>
      </c>
      <c r="I18" s="377">
        <f t="shared" si="1"/>
        <v>0</v>
      </c>
    </row>
    <row r="19" spans="1:59">
      <c r="A19" s="30" t="s">
        <v>43</v>
      </c>
      <c r="B19" s="24" t="s">
        <v>0</v>
      </c>
      <c r="D19" s="376"/>
      <c r="E19" s="376"/>
      <c r="F19" s="201" t="s">
        <v>0</v>
      </c>
      <c r="G19" s="201" t="s">
        <v>0</v>
      </c>
      <c r="H19" s="201" t="s">
        <v>0</v>
      </c>
      <c r="I19" s="201" t="s">
        <v>0</v>
      </c>
    </row>
    <row r="20" spans="1:59">
      <c r="A20" s="35" t="s">
        <v>21</v>
      </c>
      <c r="B20" s="24" t="s">
        <v>60</v>
      </c>
      <c r="D20" s="376">
        <v>982</v>
      </c>
      <c r="E20" s="376">
        <v>2553</v>
      </c>
      <c r="F20" s="201">
        <v>7200</v>
      </c>
      <c r="G20" s="201">
        <v>7200</v>
      </c>
      <c r="H20" s="201">
        <v>7200</v>
      </c>
      <c r="I20" s="201"/>
    </row>
    <row r="21" spans="1:59">
      <c r="A21" s="35"/>
      <c r="D21" s="377">
        <f t="shared" ref="D21:I21" si="2">SUM(D20:D20)</f>
        <v>982</v>
      </c>
      <c r="E21" s="377">
        <f t="shared" si="2"/>
        <v>2553</v>
      </c>
      <c r="F21" s="295">
        <f t="shared" si="2"/>
        <v>7200</v>
      </c>
      <c r="G21" s="295">
        <f t="shared" si="2"/>
        <v>7200</v>
      </c>
      <c r="H21" s="295">
        <f t="shared" si="2"/>
        <v>7200</v>
      </c>
      <c r="I21" s="295">
        <f t="shared" si="2"/>
        <v>0</v>
      </c>
    </row>
    <row r="22" spans="1:59">
      <c r="A22" s="30" t="s">
        <v>39</v>
      </c>
      <c r="D22" s="376"/>
      <c r="E22" s="376"/>
      <c r="F22" s="201"/>
      <c r="G22" s="201"/>
      <c r="H22" s="201"/>
      <c r="I22" s="201"/>
    </row>
    <row r="23" spans="1:59">
      <c r="A23" s="35" t="s">
        <v>31</v>
      </c>
      <c r="B23" s="24" t="s">
        <v>70</v>
      </c>
      <c r="D23" s="376">
        <v>3615</v>
      </c>
      <c r="E23" s="376">
        <v>6732</v>
      </c>
      <c r="F23" s="201">
        <v>5900</v>
      </c>
      <c r="G23" s="201">
        <v>5900</v>
      </c>
      <c r="H23" s="201">
        <v>5900</v>
      </c>
      <c r="I23" s="201"/>
    </row>
    <row r="24" spans="1:59">
      <c r="A24" s="35" t="s">
        <v>33</v>
      </c>
      <c r="B24" s="24" t="s">
        <v>71</v>
      </c>
      <c r="D24" s="376">
        <v>1066</v>
      </c>
      <c r="E24" s="376">
        <v>395</v>
      </c>
      <c r="F24" s="201">
        <v>500</v>
      </c>
      <c r="G24" s="201">
        <v>500</v>
      </c>
      <c r="H24" s="201">
        <v>500</v>
      </c>
      <c r="I24" s="201"/>
    </row>
    <row r="25" spans="1:59">
      <c r="A25" s="35"/>
      <c r="D25" s="377">
        <f>+D23+D24</f>
        <v>4681</v>
      </c>
      <c r="E25" s="377">
        <f>+E23+E24</f>
        <v>7127</v>
      </c>
      <c r="F25" s="295">
        <f>SUM(F23:F24)</f>
        <v>6400</v>
      </c>
      <c r="G25" s="295">
        <f>SUM(G23:G24)</f>
        <v>6400</v>
      </c>
      <c r="H25" s="295">
        <f>SUM(H23:H24)</f>
        <v>6400</v>
      </c>
      <c r="I25" s="295">
        <f>SUM(I23:I24)</f>
        <v>0</v>
      </c>
    </row>
    <row r="26" spans="1:59">
      <c r="A26" s="35"/>
      <c r="F26" s="36"/>
      <c r="G26" s="36"/>
      <c r="I26" s="36"/>
    </row>
    <row r="27" spans="1:59">
      <c r="F27" s="36"/>
      <c r="G27" s="36"/>
      <c r="I27" s="36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</row>
    <row r="28" spans="1:59">
      <c r="A28" s="30" t="s">
        <v>40</v>
      </c>
      <c r="D28" s="210">
        <f>+D25+D21+D18+D13</f>
        <v>217764</v>
      </c>
      <c r="E28" s="447">
        <f>E13+E18+E21+E25</f>
        <v>256761</v>
      </c>
      <c r="F28" s="210">
        <f>+F25+F21+F18+F13</f>
        <v>278264</v>
      </c>
      <c r="G28" s="202">
        <f>+G25+G21+G18+G13</f>
        <v>313341</v>
      </c>
      <c r="H28" s="202">
        <f>+H25+H21+H18+H13</f>
        <v>313341</v>
      </c>
      <c r="I28" s="202">
        <f>+I25+I21+I18+I13</f>
        <v>0</v>
      </c>
      <c r="AT28" s="62"/>
      <c r="AU28" s="62"/>
      <c r="AV28" s="62"/>
      <c r="AW28" s="62"/>
    </row>
    <row r="29" spans="1:59" customFormat="1">
      <c r="D29" s="91"/>
      <c r="E29" s="91"/>
    </row>
    <row r="30" spans="1:59" customFormat="1">
      <c r="D30" s="372"/>
      <c r="E30" s="375"/>
      <c r="F30" s="185"/>
      <c r="G30" s="202"/>
    </row>
    <row r="31" spans="1:59">
      <c r="F31" s="36"/>
      <c r="G31" s="258"/>
      <c r="H31" s="24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topLeftCell="A25" workbookViewId="0">
      <selection activeCell="E40" sqref="E40"/>
    </sheetView>
  </sheetViews>
  <sheetFormatPr defaultColWidth="9" defaultRowHeight="15"/>
  <cols>
    <col min="1" max="1" width="30.5703125" style="227" customWidth="1"/>
    <col min="2" max="2" width="9" style="6"/>
    <col min="3" max="3" width="14" style="6" customWidth="1"/>
    <col min="4" max="4" width="13.7109375" style="6" customWidth="1"/>
    <col min="5" max="5" width="16.28515625" style="29" customWidth="1"/>
    <col min="6" max="6" width="16" style="6" customWidth="1"/>
    <col min="7" max="7" width="15" customWidth="1"/>
    <col min="8" max="16384" width="9" style="6"/>
  </cols>
  <sheetData>
    <row r="1" spans="1:7" s="2" customFormat="1">
      <c r="A1" s="481" t="s">
        <v>657</v>
      </c>
      <c r="B1" s="481"/>
      <c r="C1" s="481"/>
      <c r="D1" s="481"/>
      <c r="E1" s="481"/>
      <c r="F1" s="481"/>
      <c r="G1" s="481"/>
    </row>
    <row r="2" spans="1:7">
      <c r="A2" s="229"/>
      <c r="B2" s="3"/>
      <c r="C2" s="3"/>
      <c r="D2" s="3"/>
      <c r="E2" s="4"/>
      <c r="F2" s="224"/>
      <c r="G2" s="220"/>
    </row>
    <row r="3" spans="1:7">
      <c r="A3" s="230"/>
      <c r="B3" s="7"/>
      <c r="C3" s="8" t="s">
        <v>620</v>
      </c>
      <c r="D3" s="8" t="s">
        <v>182</v>
      </c>
      <c r="E3" s="10" t="s">
        <v>183</v>
      </c>
      <c r="F3" s="9" t="s">
        <v>232</v>
      </c>
      <c r="G3" s="220"/>
    </row>
    <row r="4" spans="1:7">
      <c r="A4" s="231" t="s">
        <v>42</v>
      </c>
      <c r="B4" s="11"/>
      <c r="C4" s="12" t="s">
        <v>184</v>
      </c>
      <c r="D4" s="11" t="s">
        <v>185</v>
      </c>
      <c r="E4" s="14" t="s">
        <v>186</v>
      </c>
      <c r="F4" s="13" t="s">
        <v>186</v>
      </c>
      <c r="G4" s="220"/>
    </row>
    <row r="5" spans="1:7">
      <c r="A5" s="232"/>
      <c r="B5" s="16"/>
      <c r="C5" s="17"/>
      <c r="D5" s="17"/>
      <c r="E5" s="18"/>
      <c r="F5" s="221"/>
      <c r="G5" s="220"/>
    </row>
    <row r="6" spans="1:7">
      <c r="A6" s="233" t="s">
        <v>583</v>
      </c>
      <c r="B6" s="23">
        <v>122</v>
      </c>
      <c r="C6" s="20">
        <v>573173</v>
      </c>
      <c r="D6" s="20">
        <f>'Dept 122'!G33</f>
        <v>630714</v>
      </c>
      <c r="E6" s="305">
        <f t="shared" ref="E6:E32" si="0">D6-C6</f>
        <v>57541</v>
      </c>
      <c r="F6" s="429">
        <f t="shared" ref="F6:F13" si="1">E6/C6</f>
        <v>0.10039028356185654</v>
      </c>
      <c r="G6" s="220"/>
    </row>
    <row r="7" spans="1:7">
      <c r="A7" s="233" t="s">
        <v>248</v>
      </c>
      <c r="B7" s="23">
        <v>124</v>
      </c>
      <c r="C7" s="20">
        <v>144612</v>
      </c>
      <c r="D7" s="20">
        <f>'Dept 124'!G27</f>
        <v>74500</v>
      </c>
      <c r="E7" s="305">
        <f t="shared" si="0"/>
        <v>-70112</v>
      </c>
      <c r="F7" s="429">
        <f t="shared" si="1"/>
        <v>-0.48482836832351395</v>
      </c>
      <c r="G7" s="220"/>
    </row>
    <row r="8" spans="1:7">
      <c r="A8" s="233" t="s">
        <v>508</v>
      </c>
      <c r="B8" s="23">
        <v>131</v>
      </c>
      <c r="C8" s="20">
        <v>6750</v>
      </c>
      <c r="D8" s="20">
        <f>'Dept 131'!G17</f>
        <v>6750</v>
      </c>
      <c r="E8" s="305">
        <f t="shared" si="0"/>
        <v>0</v>
      </c>
      <c r="F8" s="429">
        <f t="shared" si="1"/>
        <v>0</v>
      </c>
      <c r="G8" s="220"/>
    </row>
    <row r="9" spans="1:7">
      <c r="A9" s="233" t="s">
        <v>765</v>
      </c>
      <c r="B9" s="23">
        <v>135</v>
      </c>
      <c r="C9" s="20">
        <v>191962</v>
      </c>
      <c r="D9" s="20">
        <f>'Dept 135'!G28</f>
        <v>209322</v>
      </c>
      <c r="E9" s="305">
        <f t="shared" si="0"/>
        <v>17360</v>
      </c>
      <c r="F9" s="429">
        <f t="shared" si="1"/>
        <v>9.0434565174357426E-2</v>
      </c>
      <c r="G9" s="220"/>
    </row>
    <row r="10" spans="1:7" s="93" customFormat="1">
      <c r="A10" s="233" t="s">
        <v>187</v>
      </c>
      <c r="B10" s="23">
        <v>141</v>
      </c>
      <c r="C10" s="20">
        <v>250232</v>
      </c>
      <c r="D10" s="20">
        <f>'Dept 141'!G31</f>
        <v>263624</v>
      </c>
      <c r="E10" s="305">
        <f t="shared" si="0"/>
        <v>13392</v>
      </c>
      <c r="F10" s="429">
        <f t="shared" si="1"/>
        <v>5.3518334985133795E-2</v>
      </c>
      <c r="G10" s="306"/>
    </row>
    <row r="11" spans="1:7" s="93" customFormat="1">
      <c r="A11" s="233" t="s">
        <v>211</v>
      </c>
      <c r="B11" s="23">
        <v>145</v>
      </c>
      <c r="C11" s="20">
        <v>401922</v>
      </c>
      <c r="D11" s="20">
        <f>'Dept 145'!G32</f>
        <v>446780</v>
      </c>
      <c r="E11" s="305">
        <f t="shared" si="0"/>
        <v>44858</v>
      </c>
      <c r="F11" s="429">
        <f t="shared" si="1"/>
        <v>0.11160872009991989</v>
      </c>
      <c r="G11" s="306"/>
    </row>
    <row r="12" spans="1:7" s="93" customFormat="1">
      <c r="A12" s="233" t="s">
        <v>188</v>
      </c>
      <c r="B12" s="23">
        <v>151</v>
      </c>
      <c r="C12" s="20">
        <v>147898</v>
      </c>
      <c r="D12" s="20">
        <f>'Dept 151'!G32</f>
        <v>300000</v>
      </c>
      <c r="E12" s="305">
        <f t="shared" si="0"/>
        <v>152102</v>
      </c>
      <c r="F12" s="429">
        <f t="shared" si="1"/>
        <v>1.0284249956050793</v>
      </c>
      <c r="G12" s="306"/>
    </row>
    <row r="13" spans="1:7" s="93" customFormat="1">
      <c r="A13" s="233" t="s">
        <v>231</v>
      </c>
      <c r="B13" s="23">
        <v>155</v>
      </c>
      <c r="C13" s="303">
        <v>46945</v>
      </c>
      <c r="D13" s="20">
        <f>'Dept 155'!K19</f>
        <v>106982</v>
      </c>
      <c r="E13" s="305">
        <f t="shared" si="0"/>
        <v>60037</v>
      </c>
      <c r="F13" s="429">
        <f t="shared" si="1"/>
        <v>1.278879539887102</v>
      </c>
    </row>
    <row r="14" spans="1:7" s="93" customFormat="1">
      <c r="A14" s="233" t="s">
        <v>189</v>
      </c>
      <c r="B14" s="23">
        <v>161</v>
      </c>
      <c r="C14" s="19">
        <v>106600</v>
      </c>
      <c r="D14" s="20">
        <f>'Dept 161'!G28</f>
        <v>117740</v>
      </c>
      <c r="E14" s="305">
        <f t="shared" si="0"/>
        <v>11140</v>
      </c>
      <c r="F14" s="429">
        <f t="shared" ref="F14:F53" si="2">E14/C14</f>
        <v>0.10450281425891182</v>
      </c>
    </row>
    <row r="15" spans="1:7" s="93" customFormat="1">
      <c r="A15" s="233" t="s">
        <v>652</v>
      </c>
      <c r="B15" s="23">
        <v>171</v>
      </c>
      <c r="C15" s="19">
        <v>187267</v>
      </c>
      <c r="D15" s="20">
        <f>'Dept 171'!G32</f>
        <v>199970</v>
      </c>
      <c r="E15" s="305">
        <f t="shared" si="0"/>
        <v>12703</v>
      </c>
      <c r="F15" s="429">
        <f t="shared" si="2"/>
        <v>6.7833627921630613E-2</v>
      </c>
    </row>
    <row r="16" spans="1:7" s="93" customFormat="1">
      <c r="A16" s="233" t="s">
        <v>464</v>
      </c>
      <c r="B16" s="23">
        <v>175</v>
      </c>
      <c r="C16" s="303">
        <v>204904</v>
      </c>
      <c r="D16" s="20">
        <f>'Dept 175'!G32</f>
        <v>209819</v>
      </c>
      <c r="E16" s="305">
        <f t="shared" si="0"/>
        <v>4915</v>
      </c>
      <c r="F16" s="429">
        <f t="shared" si="2"/>
        <v>2.3986842618982547E-2</v>
      </c>
      <c r="G16" s="306"/>
    </row>
    <row r="17" spans="1:10" s="93" customFormat="1">
      <c r="A17" s="233" t="s">
        <v>190</v>
      </c>
      <c r="B17" s="23">
        <v>192</v>
      </c>
      <c r="C17" s="19">
        <v>247984</v>
      </c>
      <c r="D17" s="20">
        <f>'Dept 192'!G33</f>
        <v>444649</v>
      </c>
      <c r="E17" s="305">
        <f t="shared" si="0"/>
        <v>196665</v>
      </c>
      <c r="F17" s="429">
        <f t="shared" si="2"/>
        <v>0.79305519710949091</v>
      </c>
      <c r="G17" s="306"/>
    </row>
    <row r="18" spans="1:10" s="93" customFormat="1">
      <c r="A18" s="233" t="s">
        <v>191</v>
      </c>
      <c r="B18" s="23">
        <v>210</v>
      </c>
      <c r="C18" s="19">
        <v>3590215.1499999994</v>
      </c>
      <c r="D18" s="20">
        <f>'Dept 210'!G48</f>
        <v>3782795.15</v>
      </c>
      <c r="E18" s="305">
        <f t="shared" si="0"/>
        <v>192580.00000000047</v>
      </c>
      <c r="F18" s="429">
        <f t="shared" si="2"/>
        <v>5.3640239360028465E-2</v>
      </c>
      <c r="G18" s="306"/>
    </row>
    <row r="19" spans="1:10" s="93" customFormat="1">
      <c r="A19" s="233" t="s">
        <v>192</v>
      </c>
      <c r="B19" s="23">
        <v>220</v>
      </c>
      <c r="C19" s="19">
        <v>3928444.06</v>
      </c>
      <c r="D19" s="20">
        <f>'Dept 220'!G50</f>
        <v>4269257</v>
      </c>
      <c r="E19" s="305">
        <f t="shared" si="0"/>
        <v>340812.93999999994</v>
      </c>
      <c r="F19" s="429">
        <f t="shared" si="2"/>
        <v>8.6755197425415279E-2</v>
      </c>
      <c r="G19" s="306"/>
    </row>
    <row r="20" spans="1:10" s="93" customFormat="1">
      <c r="A20" s="233" t="s">
        <v>193</v>
      </c>
      <c r="B20" s="23">
        <v>241</v>
      </c>
      <c r="C20" s="19">
        <v>278264</v>
      </c>
      <c r="D20" s="20">
        <f>'Dept 241'!G28</f>
        <v>313341</v>
      </c>
      <c r="E20" s="305">
        <f t="shared" si="0"/>
        <v>35077</v>
      </c>
      <c r="F20" s="429">
        <f t="shared" si="2"/>
        <v>0.12605655061380561</v>
      </c>
    </row>
    <row r="21" spans="1:10" s="93" customFormat="1">
      <c r="A21" s="233" t="s">
        <v>400</v>
      </c>
      <c r="B21" s="23">
        <v>291</v>
      </c>
      <c r="C21" s="19">
        <v>35885</v>
      </c>
      <c r="D21" s="20">
        <f>'Dept 291'!G21</f>
        <v>35885</v>
      </c>
      <c r="E21" s="305">
        <f t="shared" si="0"/>
        <v>0</v>
      </c>
      <c r="F21" s="429">
        <f t="shared" si="2"/>
        <v>0</v>
      </c>
      <c r="G21" s="306"/>
    </row>
    <row r="22" spans="1:10" s="93" customFormat="1">
      <c r="A22" s="233" t="s">
        <v>194</v>
      </c>
      <c r="B22" s="23">
        <v>292</v>
      </c>
      <c r="C22" s="21">
        <v>31418</v>
      </c>
      <c r="D22" s="20">
        <f>'Dept 292'!G25</f>
        <v>31621</v>
      </c>
      <c r="E22" s="305">
        <f t="shared" si="0"/>
        <v>203</v>
      </c>
      <c r="F22" s="429">
        <f t="shared" si="2"/>
        <v>6.4612642434273343E-3</v>
      </c>
      <c r="G22" s="306"/>
    </row>
    <row r="23" spans="1:10" s="93" customFormat="1">
      <c r="A23" s="233" t="s">
        <v>195</v>
      </c>
      <c r="B23" s="23">
        <v>297</v>
      </c>
      <c r="C23" s="19">
        <v>15422</v>
      </c>
      <c r="D23" s="20">
        <f>'Dept 297'!G20</f>
        <v>17784</v>
      </c>
      <c r="E23" s="305">
        <f t="shared" si="0"/>
        <v>2362</v>
      </c>
      <c r="F23" s="429">
        <f t="shared" si="2"/>
        <v>0.15315782648164958</v>
      </c>
      <c r="G23" s="306"/>
    </row>
    <row r="24" spans="1:10" s="93" customFormat="1">
      <c r="A24" s="233" t="s">
        <v>509</v>
      </c>
      <c r="B24" s="23">
        <v>301</v>
      </c>
      <c r="C24" s="20">
        <v>17334735.199999999</v>
      </c>
      <c r="D24" s="20">
        <f>+C24*1.03</f>
        <v>17854777.256000001</v>
      </c>
      <c r="E24" s="305">
        <f t="shared" si="0"/>
        <v>520042.05600000173</v>
      </c>
      <c r="F24" s="429">
        <f t="shared" si="2"/>
        <v>3.00000000000001E-2</v>
      </c>
      <c r="G24" s="306"/>
    </row>
    <row r="25" spans="1:10" s="93" customFormat="1">
      <c r="A25" s="233" t="s">
        <v>68</v>
      </c>
      <c r="B25" s="23">
        <v>421</v>
      </c>
      <c r="C25" s="19">
        <v>1256503</v>
      </c>
      <c r="D25" s="20">
        <f>'Dept 421'!G46</f>
        <v>1266273</v>
      </c>
      <c r="E25" s="305">
        <f t="shared" si="0"/>
        <v>9770</v>
      </c>
      <c r="F25" s="429">
        <f t="shared" si="2"/>
        <v>7.7755484865535537E-3</v>
      </c>
    </row>
    <row r="26" spans="1:10" s="93" customFormat="1">
      <c r="A26" s="233" t="s">
        <v>197</v>
      </c>
      <c r="B26" s="23">
        <v>423</v>
      </c>
      <c r="C26" s="19">
        <v>74830</v>
      </c>
      <c r="D26" s="20">
        <f>'Dept 423'!G25</f>
        <v>74830</v>
      </c>
      <c r="E26" s="305">
        <f t="shared" si="0"/>
        <v>0</v>
      </c>
      <c r="F26" s="429">
        <f t="shared" si="2"/>
        <v>0</v>
      </c>
    </row>
    <row r="27" spans="1:10" s="93" customFormat="1">
      <c r="A27" s="233" t="s">
        <v>198</v>
      </c>
      <c r="B27" s="23">
        <v>496</v>
      </c>
      <c r="C27" s="19">
        <v>73235</v>
      </c>
      <c r="D27" s="20">
        <f>'Dept 496'!G26</f>
        <v>73935</v>
      </c>
      <c r="E27" s="305">
        <f t="shared" si="0"/>
        <v>700</v>
      </c>
      <c r="F27" s="429">
        <f t="shared" si="2"/>
        <v>9.5582713183587076E-3</v>
      </c>
      <c r="G27" s="306"/>
    </row>
    <row r="28" spans="1:10" s="93" customFormat="1">
      <c r="A28" s="233" t="s">
        <v>199</v>
      </c>
      <c r="B28" s="23">
        <v>511</v>
      </c>
      <c r="C28" s="19">
        <v>222296</v>
      </c>
      <c r="D28" s="20">
        <f>'Dept 511'!G32</f>
        <v>262545</v>
      </c>
      <c r="E28" s="305">
        <f t="shared" si="0"/>
        <v>40249</v>
      </c>
      <c r="F28" s="429">
        <f t="shared" si="2"/>
        <v>0.18106038795120019</v>
      </c>
      <c r="G28" s="306"/>
    </row>
    <row r="29" spans="1:10">
      <c r="A29" s="232" t="s">
        <v>200</v>
      </c>
      <c r="B29" s="16">
        <v>541</v>
      </c>
      <c r="C29" s="19">
        <v>334224</v>
      </c>
      <c r="D29" s="20">
        <f>'Dept 541'!G36</f>
        <v>352535</v>
      </c>
      <c r="E29" s="305">
        <f t="shared" si="0"/>
        <v>18311</v>
      </c>
      <c r="F29" s="429">
        <f t="shared" si="2"/>
        <v>5.4786610177605437E-2</v>
      </c>
      <c r="G29" s="220"/>
    </row>
    <row r="30" spans="1:10">
      <c r="A30" s="232" t="s">
        <v>510</v>
      </c>
      <c r="B30" s="16">
        <v>543</v>
      </c>
      <c r="C30" s="19">
        <v>30779</v>
      </c>
      <c r="D30" s="20">
        <f>'Dept 543'!G26</f>
        <v>32822</v>
      </c>
      <c r="E30" s="18">
        <f t="shared" si="0"/>
        <v>2043</v>
      </c>
      <c r="F30" s="221">
        <f t="shared" si="2"/>
        <v>6.6376425484908547E-2</v>
      </c>
      <c r="G30" s="220"/>
      <c r="H30" s="93"/>
      <c r="I30" s="93"/>
      <c r="J30" s="93"/>
    </row>
    <row r="31" spans="1:10">
      <c r="A31" s="233" t="s">
        <v>201</v>
      </c>
      <c r="B31" s="23">
        <v>610</v>
      </c>
      <c r="C31" s="19">
        <v>369715</v>
      </c>
      <c r="D31" s="20">
        <f>'Dept 610'!G35</f>
        <v>407919</v>
      </c>
      <c r="E31" s="305">
        <f t="shared" si="0"/>
        <v>38204</v>
      </c>
      <c r="F31" s="429">
        <f t="shared" si="2"/>
        <v>0.10333364889171388</v>
      </c>
      <c r="G31" s="220"/>
    </row>
    <row r="32" spans="1:10">
      <c r="A32" s="232" t="s">
        <v>202</v>
      </c>
      <c r="B32" s="16">
        <v>650</v>
      </c>
      <c r="C32" s="19">
        <v>59117</v>
      </c>
      <c r="D32" s="20">
        <f>'Dept 650'!G19</f>
        <v>62074</v>
      </c>
      <c r="E32" s="18">
        <f t="shared" si="0"/>
        <v>2957</v>
      </c>
      <c r="F32" s="221">
        <f t="shared" si="2"/>
        <v>5.0019452949236258E-2</v>
      </c>
      <c r="G32" s="220"/>
    </row>
    <row r="33" spans="1:7">
      <c r="A33" s="234" t="s">
        <v>203</v>
      </c>
      <c r="B33" s="217"/>
      <c r="C33" s="218">
        <f>SUM(C5:C32)</f>
        <v>30145331.409999996</v>
      </c>
      <c r="D33" s="218">
        <f>SUM(D5:D32)</f>
        <v>31849243.406000003</v>
      </c>
      <c r="E33" s="218">
        <f>SUM(E5:E32)</f>
        <v>1703911.9960000021</v>
      </c>
      <c r="F33" s="222">
        <f t="shared" si="2"/>
        <v>5.6523246429951997E-2</v>
      </c>
      <c r="G33" s="220"/>
    </row>
    <row r="34" spans="1:7">
      <c r="A34" s="227" t="s">
        <v>505</v>
      </c>
      <c r="B34" s="16">
        <v>912</v>
      </c>
      <c r="C34" s="20">
        <v>232846.90000000002</v>
      </c>
      <c r="D34" s="20">
        <f>Admin!G18</f>
        <v>248101.30000000002</v>
      </c>
      <c r="E34" s="18">
        <f t="shared" ref="E34:E41" si="3">D34-C34</f>
        <v>15254.399999999994</v>
      </c>
      <c r="F34" s="221">
        <f t="shared" si="2"/>
        <v>6.5512575000998483E-2</v>
      </c>
      <c r="G34" s="220"/>
    </row>
    <row r="35" spans="1:7" s="93" customFormat="1">
      <c r="A35" s="310" t="s">
        <v>138</v>
      </c>
      <c r="B35" s="23">
        <v>914</v>
      </c>
      <c r="C35" s="20">
        <v>6560328.6449999996</v>
      </c>
      <c r="D35" s="20">
        <f>Admin!G21+Admin!G22</f>
        <v>6777138.8700000001</v>
      </c>
      <c r="E35" s="305">
        <f t="shared" si="3"/>
        <v>216810.22500000056</v>
      </c>
      <c r="F35" s="429">
        <f t="shared" si="2"/>
        <v>3.3048683493203349E-2</v>
      </c>
      <c r="G35" s="306"/>
    </row>
    <row r="36" spans="1:7">
      <c r="A36" s="227" t="s">
        <v>139</v>
      </c>
      <c r="B36" s="16">
        <v>915</v>
      </c>
      <c r="C36" s="20">
        <v>798600.00000000012</v>
      </c>
      <c r="D36" s="20">
        <f>Admin!G23</f>
        <v>878460.00000000012</v>
      </c>
      <c r="E36" s="18">
        <f t="shared" si="3"/>
        <v>79860</v>
      </c>
      <c r="F36" s="221">
        <f t="shared" si="2"/>
        <v>9.9999999999999992E-2</v>
      </c>
      <c r="G36" s="220"/>
    </row>
    <row r="37" spans="1:7">
      <c r="A37" s="227" t="s">
        <v>466</v>
      </c>
      <c r="B37" s="16">
        <v>916</v>
      </c>
      <c r="C37" s="20">
        <v>393826.4</v>
      </c>
      <c r="D37" s="20">
        <f>Admin!G24</f>
        <v>413517.30000000005</v>
      </c>
      <c r="E37" s="18">
        <f t="shared" si="3"/>
        <v>19690.900000000023</v>
      </c>
      <c r="F37" s="221">
        <f t="shared" si="2"/>
        <v>4.9998933540260436E-2</v>
      </c>
      <c r="G37" s="220" t="s">
        <v>0</v>
      </c>
    </row>
    <row r="38" spans="1:7">
      <c r="A38" s="227" t="s">
        <v>73</v>
      </c>
      <c r="B38" s="16">
        <v>543</v>
      </c>
      <c r="C38" s="20">
        <v>200000</v>
      </c>
      <c r="D38" s="20">
        <f>Admin!G25</f>
        <v>200000</v>
      </c>
      <c r="E38" s="18">
        <f t="shared" si="3"/>
        <v>0</v>
      </c>
      <c r="F38" s="221">
        <f t="shared" si="2"/>
        <v>0</v>
      </c>
      <c r="G38" s="220"/>
    </row>
    <row r="39" spans="1:7">
      <c r="A39" s="233" t="s">
        <v>735</v>
      </c>
      <c r="B39" s="16">
        <v>122</v>
      </c>
      <c r="C39" s="20">
        <v>0</v>
      </c>
      <c r="D39" s="20">
        <v>129338</v>
      </c>
      <c r="E39" s="18">
        <f t="shared" ref="E39" si="4">D39-C39</f>
        <v>129338</v>
      </c>
      <c r="F39" s="458" t="s">
        <v>372</v>
      </c>
      <c r="G39" s="455"/>
    </row>
    <row r="40" spans="1:7">
      <c r="A40" s="233" t="s">
        <v>767</v>
      </c>
      <c r="B40" s="16">
        <v>122</v>
      </c>
      <c r="C40" s="20">
        <v>0</v>
      </c>
      <c r="D40" s="20">
        <v>100000</v>
      </c>
      <c r="E40" s="18">
        <f t="shared" ref="E40" si="5">D40-C40</f>
        <v>100000</v>
      </c>
      <c r="F40" s="458" t="s">
        <v>372</v>
      </c>
      <c r="G40" s="455"/>
    </row>
    <row r="41" spans="1:7">
      <c r="A41" s="227" t="s">
        <v>74</v>
      </c>
      <c r="B41" s="16">
        <v>131</v>
      </c>
      <c r="C41" s="20">
        <v>82408.700000000012</v>
      </c>
      <c r="D41" s="20">
        <f>Admin!G26</f>
        <v>82409</v>
      </c>
      <c r="E41" s="18">
        <f t="shared" si="3"/>
        <v>0.29999999998835847</v>
      </c>
      <c r="F41" s="221">
        <f t="shared" si="2"/>
        <v>3.6403923370755566E-6</v>
      </c>
      <c r="G41" s="455"/>
    </row>
    <row r="42" spans="1:7">
      <c r="A42" s="234" t="s">
        <v>204</v>
      </c>
      <c r="B42" s="217" t="s">
        <v>0</v>
      </c>
      <c r="C42" s="218">
        <f>SUM(C34:C41)</f>
        <v>8268010.6450000005</v>
      </c>
      <c r="D42" s="218">
        <f>SUM(D34:D41)</f>
        <v>8828964.4699999988</v>
      </c>
      <c r="E42" s="218">
        <f>SUM(E34:E41)</f>
        <v>560953.82500000065</v>
      </c>
      <c r="F42" s="222">
        <f t="shared" si="2"/>
        <v>6.7846287224996749E-2</v>
      </c>
      <c r="G42" s="220"/>
    </row>
    <row r="43" spans="1:7">
      <c r="A43" s="236" t="s">
        <v>255</v>
      </c>
      <c r="B43" s="16">
        <v>124</v>
      </c>
      <c r="C43" s="17">
        <v>284326.35000000003</v>
      </c>
      <c r="D43" s="20">
        <f>Admin!G30</f>
        <v>291434.14999999997</v>
      </c>
      <c r="E43" s="18">
        <f>D43-C43</f>
        <v>7107.7999999999302</v>
      </c>
      <c r="F43" s="221">
        <f t="shared" si="2"/>
        <v>2.4998738245681166E-2</v>
      </c>
      <c r="G43" s="220"/>
    </row>
    <row r="44" spans="1:7">
      <c r="A44" s="236" t="s">
        <v>636</v>
      </c>
      <c r="B44" s="16">
        <v>124</v>
      </c>
      <c r="C44" s="17">
        <v>4000</v>
      </c>
      <c r="D44" s="20">
        <f>Admin!G31</f>
        <v>4000</v>
      </c>
      <c r="E44" s="18">
        <f>D44-C44</f>
        <v>0</v>
      </c>
      <c r="F44" s="221">
        <f t="shared" si="2"/>
        <v>0</v>
      </c>
      <c r="G44" s="220"/>
    </row>
    <row r="45" spans="1:7">
      <c r="A45" s="236" t="s">
        <v>252</v>
      </c>
      <c r="B45" s="16">
        <v>124</v>
      </c>
      <c r="C45" s="17">
        <v>76650</v>
      </c>
      <c r="D45" s="20">
        <f>Admin!G32+Admin!G33</f>
        <v>98000</v>
      </c>
      <c r="E45" s="18">
        <f>D45-C45</f>
        <v>21350</v>
      </c>
      <c r="F45" s="221">
        <f t="shared" si="2"/>
        <v>0.27853881278538811</v>
      </c>
      <c r="G45" s="220"/>
    </row>
    <row r="46" spans="1:7">
      <c r="A46" s="234" t="s">
        <v>247</v>
      </c>
      <c r="B46" s="217" t="s">
        <v>0</v>
      </c>
      <c r="C46" s="218">
        <f>SUM(C43:C45)</f>
        <v>364976.35000000003</v>
      </c>
      <c r="D46" s="218">
        <f>SUM(D43:D45)</f>
        <v>393434.14999999997</v>
      </c>
      <c r="E46" s="218">
        <f>SUM(E43:E45)</f>
        <v>28457.79999999993</v>
      </c>
      <c r="F46" s="222">
        <f t="shared" si="2"/>
        <v>7.7971627476684249E-2</v>
      </c>
      <c r="G46" s="220"/>
    </row>
    <row r="47" spans="1:7">
      <c r="A47" s="227" t="s">
        <v>150</v>
      </c>
      <c r="B47" s="16">
        <v>918</v>
      </c>
      <c r="C47" s="20">
        <v>4373317</v>
      </c>
      <c r="D47" s="20">
        <v>4546879</v>
      </c>
      <c r="E47" s="18">
        <f>D47-C47</f>
        <v>173562</v>
      </c>
      <c r="F47" s="221">
        <f t="shared" si="2"/>
        <v>3.9686581146530196E-2</v>
      </c>
      <c r="G47" s="220"/>
    </row>
    <row r="48" spans="1:7">
      <c r="A48" s="234" t="s">
        <v>205</v>
      </c>
      <c r="B48" s="217" t="s">
        <v>0</v>
      </c>
      <c r="C48" s="218">
        <f>SUM(C47:C47)</f>
        <v>4373317</v>
      </c>
      <c r="D48" s="218">
        <f>SUM(D47:D47)</f>
        <v>4546879</v>
      </c>
      <c r="E48" s="420">
        <f>+E47</f>
        <v>173562</v>
      </c>
      <c r="F48" s="222">
        <f t="shared" si="2"/>
        <v>3.9686581146530196E-2</v>
      </c>
      <c r="G48" s="220"/>
    </row>
    <row r="49" spans="1:7">
      <c r="A49" s="227" t="s">
        <v>158</v>
      </c>
      <c r="B49" s="23">
        <v>712</v>
      </c>
      <c r="C49" s="20">
        <v>905000</v>
      </c>
      <c r="D49" s="20">
        <f>Admin!G6</f>
        <v>900000</v>
      </c>
      <c r="E49" s="18">
        <f t="shared" ref="E49:E53" si="6">D49-C49</f>
        <v>-5000</v>
      </c>
      <c r="F49" s="221">
        <f t="shared" si="2"/>
        <v>-5.5248618784530384E-3</v>
      </c>
      <c r="G49" s="220"/>
    </row>
    <row r="50" spans="1:7">
      <c r="A50" s="227" t="s">
        <v>159</v>
      </c>
      <c r="B50" s="23">
        <v>752</v>
      </c>
      <c r="C50" s="20">
        <v>286946</v>
      </c>
      <c r="D50" s="20">
        <f>Admin!G7</f>
        <v>252144</v>
      </c>
      <c r="E50" s="18">
        <f t="shared" si="6"/>
        <v>-34802</v>
      </c>
      <c r="F50" s="221">
        <f t="shared" si="2"/>
        <v>-0.12128414405497899</v>
      </c>
      <c r="G50" s="220"/>
    </row>
    <row r="51" spans="1:7">
      <c r="A51" s="227" t="s">
        <v>511</v>
      </c>
      <c r="B51" s="16">
        <v>710</v>
      </c>
      <c r="C51" s="20">
        <v>1880073</v>
      </c>
      <c r="D51" s="20">
        <f>Admin!G8</f>
        <v>1841484</v>
      </c>
      <c r="E51" s="18">
        <f t="shared" si="6"/>
        <v>-38589</v>
      </c>
      <c r="F51" s="221">
        <f t="shared" si="2"/>
        <v>-2.052526683804299E-2</v>
      </c>
      <c r="G51" s="220"/>
    </row>
    <row r="52" spans="1:7">
      <c r="A52" s="227" t="s">
        <v>512</v>
      </c>
      <c r="B52" s="23">
        <v>750</v>
      </c>
      <c r="C52" s="20">
        <v>679234</v>
      </c>
      <c r="D52" s="20">
        <f>Admin!G9</f>
        <v>613486</v>
      </c>
      <c r="E52" s="419">
        <f t="shared" si="6"/>
        <v>-65748</v>
      </c>
      <c r="F52" s="221">
        <f t="shared" si="2"/>
        <v>-9.6797274576949921E-2</v>
      </c>
      <c r="G52" s="228"/>
    </row>
    <row r="53" spans="1:7">
      <c r="A53" s="227" t="s">
        <v>683</v>
      </c>
      <c r="B53" s="23">
        <v>751</v>
      </c>
      <c r="C53" s="20">
        <v>75000</v>
      </c>
      <c r="D53" s="20">
        <f>Admin!G10</f>
        <v>123784</v>
      </c>
      <c r="E53" s="305">
        <f t="shared" si="6"/>
        <v>48784</v>
      </c>
      <c r="F53" s="429">
        <f t="shared" si="2"/>
        <v>0.65045333333333333</v>
      </c>
      <c r="G53" s="220"/>
    </row>
    <row r="54" spans="1:7">
      <c r="A54" s="234" t="s">
        <v>206</v>
      </c>
      <c r="B54" s="217"/>
      <c r="C54" s="218">
        <f>SUM(C49:C53)</f>
        <v>3826253</v>
      </c>
      <c r="D54" s="218">
        <f>SUM(D49:D53)</f>
        <v>3730898</v>
      </c>
      <c r="E54" s="219">
        <f>SUM(E49:E53)</f>
        <v>-95355</v>
      </c>
      <c r="F54" s="222">
        <f>E54/C54</f>
        <v>-2.4921248019929679E-2</v>
      </c>
      <c r="G54" s="220"/>
    </row>
    <row r="55" spans="1:7">
      <c r="A55" s="234" t="s">
        <v>233</v>
      </c>
      <c r="B55" s="217"/>
      <c r="C55" s="218">
        <v>25000</v>
      </c>
      <c r="D55" s="417">
        <f>'Reserve Funds'!G14</f>
        <v>25000</v>
      </c>
      <c r="E55" s="237">
        <f>D55-C55</f>
        <v>0</v>
      </c>
      <c r="F55" s="435" t="s">
        <v>372</v>
      </c>
      <c r="G55" s="228"/>
    </row>
    <row r="56" spans="1:7">
      <c r="A56" s="234" t="s">
        <v>222</v>
      </c>
      <c r="B56" s="217"/>
      <c r="C56" s="218">
        <v>540000</v>
      </c>
      <c r="D56" s="417">
        <f>Capital!G39</f>
        <v>765000</v>
      </c>
      <c r="E56" s="238">
        <f>D56-C56</f>
        <v>225000</v>
      </c>
      <c r="F56" s="222">
        <f>E56/C56</f>
        <v>0.41666666666666669</v>
      </c>
      <c r="G56" s="220"/>
    </row>
    <row r="57" spans="1:7">
      <c r="A57" s="235"/>
      <c r="B57" s="16"/>
      <c r="C57" s="26"/>
      <c r="D57" s="26"/>
      <c r="E57" s="184"/>
      <c r="F57" s="223"/>
      <c r="G57" s="220"/>
    </row>
    <row r="58" spans="1:7">
      <c r="A58" s="234" t="s">
        <v>207</v>
      </c>
      <c r="B58" s="217"/>
      <c r="C58" s="218">
        <f>+C33+C42+C46+C48+C54+C55+C56+C57</f>
        <v>47542888.405000001</v>
      </c>
      <c r="D58" s="218">
        <f>+D33+D42+D46+D48+D54+D55+D56</f>
        <v>50139419.026000001</v>
      </c>
      <c r="E58" s="218">
        <f>+E33+E42+E48+E54+E56+E55+E46+E57</f>
        <v>2596530.6210000026</v>
      </c>
      <c r="F58" s="222">
        <f>E58/C58</f>
        <v>5.4614490370907508E-2</v>
      </c>
      <c r="G58" s="220"/>
    </row>
    <row r="59" spans="1:7">
      <c r="A59" s="226"/>
      <c r="B59" s="25"/>
      <c r="C59" s="22"/>
      <c r="D59" s="406"/>
      <c r="E59" s="5"/>
      <c r="F59" s="225"/>
      <c r="G59" s="220"/>
    </row>
    <row r="60" spans="1:7">
      <c r="A60" s="240"/>
      <c r="B60" s="62"/>
      <c r="E60" s="6"/>
      <c r="G60" s="220"/>
    </row>
    <row r="61" spans="1:7">
      <c r="C61" s="22"/>
      <c r="D61" s="22"/>
      <c r="E61" s="6"/>
    </row>
    <row r="62" spans="1:7">
      <c r="C62" s="22"/>
      <c r="D62" s="22"/>
      <c r="E62" s="6"/>
    </row>
    <row r="63" spans="1:7">
      <c r="E63" s="6"/>
    </row>
    <row r="64" spans="1:7">
      <c r="E64" s="6"/>
    </row>
    <row r="65" spans="5:5">
      <c r="E65" s="6"/>
    </row>
    <row r="66" spans="5:5">
      <c r="E66" s="6"/>
    </row>
    <row r="67" spans="5:5">
      <c r="E67" s="6"/>
    </row>
    <row r="68" spans="5:5">
      <c r="E68" s="6"/>
    </row>
    <row r="69" spans="5:5">
      <c r="E69" s="6"/>
    </row>
    <row r="70" spans="5:5">
      <c r="E70" s="6"/>
    </row>
    <row r="71" spans="5:5">
      <c r="E71" s="6"/>
    </row>
    <row r="72" spans="5:5">
      <c r="E72" s="6"/>
    </row>
    <row r="73" spans="5:5">
      <c r="E73" s="6"/>
    </row>
    <row r="74" spans="5:5">
      <c r="E74" s="6"/>
    </row>
    <row r="75" spans="5:5">
      <c r="E75" s="6"/>
    </row>
    <row r="76" spans="5:5">
      <c r="E76" s="6"/>
    </row>
    <row r="77" spans="5:5">
      <c r="E77" s="6"/>
    </row>
    <row r="78" spans="5:5">
      <c r="E78" s="6"/>
    </row>
    <row r="79" spans="5:5">
      <c r="E79" s="6"/>
    </row>
    <row r="80" spans="5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</sheetData>
  <mergeCells count="1">
    <mergeCell ref="A1:G1"/>
  </mergeCells>
  <phoneticPr fontId="0" type="noConversion"/>
  <printOptions horizontalCentered="1"/>
  <pageMargins left="0" right="0.35" top="0.75" bottom="1" header="0.3" footer="0.3"/>
  <pageSetup scale="78" orientation="portrait" r:id="rId1"/>
  <headerFooter>
    <oddFooter>&amp;L&amp;D FY25 Budget</oddFooter>
  </headerFooter>
  <ignoredErrors>
    <ignoredError sqref="E33 E42 E46 E54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150" workbookViewId="0">
      <selection activeCell="C9" sqref="C9:C12"/>
    </sheetView>
  </sheetViews>
  <sheetFormatPr defaultColWidth="9" defaultRowHeight="15"/>
  <cols>
    <col min="1" max="1" width="18.7109375" style="24" customWidth="1"/>
    <col min="2" max="2" width="9.7109375" style="24" customWidth="1"/>
    <col min="3" max="5" width="6.5703125" style="24" customWidth="1"/>
    <col min="6" max="6" width="13" style="24" customWidth="1"/>
    <col min="7" max="7" width="11.5703125" style="24" hidden="1" customWidth="1"/>
    <col min="8" max="10" width="11.5703125" style="24" customWidth="1"/>
    <col min="11" max="13" width="9" style="24"/>
    <col min="14" max="14" width="12.5703125" style="24" customWidth="1"/>
    <col min="15" max="15" width="12.5703125" style="24" hidden="1" customWidth="1"/>
    <col min="16" max="18" width="12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534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45</v>
      </c>
      <c r="K8" s="53"/>
    </row>
    <row r="9" spans="1:18">
      <c r="A9" s="24" t="s">
        <v>476</v>
      </c>
      <c r="B9" s="189">
        <v>38978</v>
      </c>
      <c r="C9" s="42"/>
      <c r="D9" s="42"/>
      <c r="E9" s="42"/>
      <c r="F9" s="36">
        <v>117500.55</v>
      </c>
      <c r="G9" s="36">
        <v>4519.25</v>
      </c>
      <c r="H9" s="73"/>
      <c r="I9" s="73">
        <v>850</v>
      </c>
      <c r="J9" s="73">
        <v>0</v>
      </c>
      <c r="K9" s="44"/>
      <c r="L9" s="42"/>
      <c r="M9" s="42"/>
      <c r="N9" s="73">
        <f>+O9*26.125</f>
        <v>121607.36843750002</v>
      </c>
      <c r="O9" s="209">
        <f>+G9*1.03</f>
        <v>4654.8275000000003</v>
      </c>
      <c r="P9" s="73"/>
      <c r="Q9" s="73">
        <v>850</v>
      </c>
      <c r="R9" s="73">
        <f>+O9/2</f>
        <v>2327.4137500000002</v>
      </c>
    </row>
    <row r="10" spans="1:18">
      <c r="B10" s="189"/>
      <c r="C10" s="42"/>
      <c r="F10" s="73"/>
      <c r="G10" s="73"/>
      <c r="H10" s="73"/>
      <c r="I10" s="73"/>
      <c r="J10" s="73"/>
      <c r="K10" s="44"/>
      <c r="N10" s="73"/>
      <c r="O10" s="209"/>
      <c r="P10" s="73"/>
      <c r="Q10" s="73"/>
      <c r="R10" s="73"/>
    </row>
    <row r="11" spans="1:18">
      <c r="A11" s="24" t="s">
        <v>46</v>
      </c>
      <c r="B11" s="189"/>
      <c r="C11" s="42"/>
      <c r="F11" s="73"/>
      <c r="G11" s="73"/>
      <c r="H11" s="73"/>
      <c r="I11" s="73"/>
      <c r="J11" s="73"/>
      <c r="K11" s="44"/>
      <c r="N11" s="73"/>
      <c r="O11" s="209"/>
      <c r="P11" s="73"/>
      <c r="Q11" s="73"/>
      <c r="R11" s="73"/>
    </row>
    <row r="12" spans="1:18">
      <c r="A12" s="24" t="s">
        <v>475</v>
      </c>
      <c r="B12" s="189">
        <v>29129</v>
      </c>
      <c r="C12" s="42"/>
      <c r="D12" s="57" t="s">
        <v>95</v>
      </c>
      <c r="E12" s="57">
        <v>25</v>
      </c>
      <c r="F12" s="36">
        <v>69376.06</v>
      </c>
      <c r="G12" s="36">
        <v>2668.31</v>
      </c>
      <c r="H12" s="73">
        <v>38.119999999999997</v>
      </c>
      <c r="I12" s="73">
        <v>2450</v>
      </c>
      <c r="J12" s="73">
        <v>0</v>
      </c>
      <c r="K12" s="44"/>
      <c r="L12" s="57" t="s">
        <v>95</v>
      </c>
      <c r="M12" s="57">
        <v>25</v>
      </c>
      <c r="N12" s="73">
        <f>+O12*26.125</f>
        <v>69709.598750000005</v>
      </c>
      <c r="O12" s="209">
        <v>2668.31</v>
      </c>
      <c r="P12" s="73">
        <v>38.119999999999997</v>
      </c>
      <c r="Q12" s="73">
        <v>2450</v>
      </c>
      <c r="R12" s="73">
        <v>0</v>
      </c>
    </row>
    <row r="13" spans="1:18">
      <c r="A13" s="24" t="s">
        <v>695</v>
      </c>
      <c r="B13" s="189"/>
      <c r="C13" s="42"/>
      <c r="D13" s="42"/>
      <c r="E13" s="42"/>
      <c r="F13" s="36">
        <v>100486.63</v>
      </c>
      <c r="G13" s="36">
        <v>3864.87</v>
      </c>
      <c r="H13" s="73"/>
      <c r="I13" s="73">
        <v>0</v>
      </c>
      <c r="J13" s="73">
        <v>0</v>
      </c>
      <c r="K13" s="44"/>
      <c r="L13" s="42"/>
      <c r="M13" s="42"/>
      <c r="N13" s="73">
        <f>80000*1.03</f>
        <v>82400</v>
      </c>
      <c r="O13" s="209">
        <f>+N13/26.125</f>
        <v>3154.0669856459331</v>
      </c>
      <c r="P13" s="73"/>
      <c r="Q13" s="73"/>
      <c r="R13" s="73"/>
    </row>
    <row r="14" spans="1:18">
      <c r="B14" s="189"/>
      <c r="K14" s="53"/>
      <c r="N14" s="73"/>
      <c r="O14" s="73"/>
      <c r="P14" s="73"/>
      <c r="Q14" s="73"/>
      <c r="R14" s="73"/>
    </row>
    <row r="15" spans="1:18">
      <c r="K15" s="53"/>
    </row>
    <row r="16" spans="1:18">
      <c r="A16" s="24" t="s">
        <v>45</v>
      </c>
      <c r="F16" s="36">
        <f>ROUNDUP(F9,0)</f>
        <v>117501</v>
      </c>
      <c r="K16" s="53"/>
      <c r="N16" s="36">
        <f>ROUNDUP(N9,0)</f>
        <v>121608</v>
      </c>
    </row>
    <row r="17" spans="1:15">
      <c r="A17" s="24" t="s">
        <v>46</v>
      </c>
      <c r="B17" s="42"/>
      <c r="F17" s="36">
        <f>ROUNDUP(+F12+F13-30000,0)</f>
        <v>139863</v>
      </c>
      <c r="G17" s="24" t="s">
        <v>563</v>
      </c>
      <c r="K17" s="53"/>
      <c r="N17" s="36">
        <f>ROUNDUP(N12+N13,0)</f>
        <v>152110</v>
      </c>
      <c r="O17" s="24" t="s">
        <v>748</v>
      </c>
    </row>
    <row r="18" spans="1:15">
      <c r="A18" s="24" t="s">
        <v>47</v>
      </c>
      <c r="B18" s="42"/>
      <c r="F18" s="36">
        <v>3000</v>
      </c>
      <c r="K18" s="53"/>
      <c r="N18" s="36">
        <v>12500</v>
      </c>
    </row>
    <row r="19" spans="1:15">
      <c r="A19" s="24" t="s">
        <v>91</v>
      </c>
      <c r="B19" s="42"/>
      <c r="F19" s="36">
        <f>+I12+I9</f>
        <v>3300</v>
      </c>
      <c r="K19" s="53"/>
      <c r="N19" s="36">
        <f>+Q9+Q12</f>
        <v>3300</v>
      </c>
    </row>
    <row r="20" spans="1:15">
      <c r="A20" s="24" t="s">
        <v>342</v>
      </c>
      <c r="B20" s="42"/>
      <c r="F20" s="36">
        <v>0</v>
      </c>
      <c r="K20" s="53"/>
      <c r="N20" s="36">
        <f>ROUNDUP(R9,0)</f>
        <v>2328</v>
      </c>
    </row>
    <row r="21" spans="1:15">
      <c r="A21" s="24" t="s">
        <v>52</v>
      </c>
      <c r="B21" s="42"/>
      <c r="F21" s="36">
        <v>0</v>
      </c>
      <c r="K21" s="53"/>
      <c r="N21" s="36">
        <f>ROUNDUP(N12*0.02,0)</f>
        <v>1395</v>
      </c>
    </row>
    <row r="22" spans="1:15">
      <c r="B22" s="42"/>
      <c r="F22" s="54"/>
      <c r="K22" s="53"/>
      <c r="N22" s="54"/>
    </row>
    <row r="23" spans="1:15">
      <c r="A23" s="42" t="s">
        <v>337</v>
      </c>
      <c r="B23" s="42"/>
      <c r="F23" s="186">
        <f>SUM(F16:F21)</f>
        <v>263664</v>
      </c>
      <c r="K23" s="53"/>
      <c r="N23" s="186">
        <f>SUM(N16:N21)</f>
        <v>293241</v>
      </c>
    </row>
    <row r="25" spans="1:15">
      <c r="B25" s="42"/>
    </row>
    <row r="26" spans="1:15">
      <c r="B26" s="42"/>
      <c r="F26" s="60" t="s">
        <v>626</v>
      </c>
      <c r="N26" s="60" t="s">
        <v>666</v>
      </c>
    </row>
    <row r="27" spans="1:15">
      <c r="B27" s="42"/>
      <c r="F27" s="60" t="s">
        <v>625</v>
      </c>
      <c r="N27" s="60" t="s">
        <v>664</v>
      </c>
    </row>
    <row r="28" spans="1:15">
      <c r="B28" s="42"/>
      <c r="F28" s="313" t="s">
        <v>97</v>
      </c>
      <c r="G28" s="62"/>
      <c r="H28" s="62"/>
      <c r="I28" s="62"/>
      <c r="K28" s="62"/>
      <c r="L28" s="62"/>
      <c r="M28" s="62"/>
      <c r="N28" s="313" t="s">
        <v>97</v>
      </c>
    </row>
    <row r="29" spans="1:15">
      <c r="B29" s="42"/>
    </row>
    <row r="34" spans="2:2">
      <c r="B34" s="59"/>
    </row>
  </sheetData>
  <phoneticPr fontId="0" type="noConversion"/>
  <printOptions horizontalCentered="1" gridLines="1"/>
  <pageMargins left="0.45" right="0.35" top="0.75" bottom="1" header="0.3" footer="0.3"/>
  <pageSetup scale="75" orientation="landscape" r:id="rId1"/>
  <headerFooter>
    <oddFooter>&amp;L&amp;D FY25 Budget&amp;CPage 27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"/>
  <sheetViews>
    <sheetView workbookViewId="0">
      <selection activeCell="H19" sqref="H19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426</v>
      </c>
    </row>
    <row r="3" spans="1:9">
      <c r="A3" s="30" t="s">
        <v>493</v>
      </c>
      <c r="D3" s="93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68">
        <v>15000</v>
      </c>
      <c r="E7" s="68">
        <v>15000</v>
      </c>
      <c r="F7" s="67">
        <v>15000</v>
      </c>
      <c r="G7" s="81">
        <f>'Pers 291'!N19</f>
        <v>15000</v>
      </c>
      <c r="H7" s="67">
        <v>15000</v>
      </c>
      <c r="I7" s="67"/>
    </row>
    <row r="8" spans="1:9">
      <c r="A8" s="35" t="s">
        <v>9</v>
      </c>
      <c r="B8" s="24" t="s">
        <v>51</v>
      </c>
      <c r="D8" s="68">
        <v>16000</v>
      </c>
      <c r="E8" s="68">
        <v>16000</v>
      </c>
      <c r="F8" s="67">
        <v>16000</v>
      </c>
      <c r="G8" s="81">
        <v>16000</v>
      </c>
      <c r="H8" s="67">
        <v>16000</v>
      </c>
      <c r="I8" s="67"/>
    </row>
    <row r="9" spans="1:9">
      <c r="A9" s="35"/>
      <c r="D9" s="94">
        <f t="shared" ref="D9:I9" si="0">SUM(D7:D8)</f>
        <v>31000</v>
      </c>
      <c r="E9" s="94">
        <f t="shared" si="0"/>
        <v>31000</v>
      </c>
      <c r="F9" s="79">
        <f t="shared" si="0"/>
        <v>31000</v>
      </c>
      <c r="G9" s="352">
        <f t="shared" si="0"/>
        <v>31000</v>
      </c>
      <c r="H9" s="79">
        <f t="shared" si="0"/>
        <v>31000</v>
      </c>
      <c r="I9" s="79">
        <f t="shared" si="0"/>
        <v>0</v>
      </c>
    </row>
    <row r="10" spans="1:9">
      <c r="A10" s="35"/>
      <c r="B10" s="30"/>
      <c r="D10" s="68"/>
      <c r="E10" s="68"/>
      <c r="F10" s="67"/>
      <c r="G10" s="81"/>
      <c r="H10" s="67"/>
      <c r="I10" s="67"/>
    </row>
    <row r="11" spans="1:9">
      <c r="A11" s="30" t="s">
        <v>44</v>
      </c>
      <c r="D11" s="68"/>
      <c r="E11" s="68"/>
      <c r="F11" s="67"/>
      <c r="G11" s="81"/>
      <c r="H11" s="67"/>
      <c r="I11" s="67"/>
    </row>
    <row r="12" spans="1:9">
      <c r="A12" s="35" t="s">
        <v>16</v>
      </c>
      <c r="B12" s="24" t="s">
        <v>56</v>
      </c>
      <c r="D12" s="68">
        <v>0</v>
      </c>
      <c r="E12" s="68">
        <v>0</v>
      </c>
      <c r="F12" s="67">
        <v>1500</v>
      </c>
      <c r="G12" s="67">
        <v>1500</v>
      </c>
      <c r="H12" s="67">
        <v>1500</v>
      </c>
      <c r="I12" s="67"/>
    </row>
    <row r="13" spans="1:9">
      <c r="A13" s="35" t="s">
        <v>18</v>
      </c>
      <c r="B13" s="24" t="s">
        <v>58</v>
      </c>
      <c r="D13" s="68">
        <v>0</v>
      </c>
      <c r="E13" s="68">
        <v>0</v>
      </c>
      <c r="F13" s="67">
        <v>1500</v>
      </c>
      <c r="G13" s="67">
        <v>1500</v>
      </c>
      <c r="H13" s="67">
        <v>1500</v>
      </c>
      <c r="I13" s="67"/>
    </row>
    <row r="14" spans="1:9">
      <c r="A14" s="35"/>
      <c r="D14" s="94">
        <f t="shared" ref="D14:I14" si="1">SUM(D12:D13)</f>
        <v>0</v>
      </c>
      <c r="E14" s="94">
        <f t="shared" si="1"/>
        <v>0</v>
      </c>
      <c r="F14" s="79">
        <f t="shared" si="1"/>
        <v>3000</v>
      </c>
      <c r="G14" s="79">
        <f t="shared" ref="G14" si="2">SUM(G12:G13)</f>
        <v>3000</v>
      </c>
      <c r="H14" s="79">
        <f>SUM(H12:H13)</f>
        <v>3000</v>
      </c>
      <c r="I14" s="79">
        <f t="shared" si="1"/>
        <v>0</v>
      </c>
    </row>
    <row r="15" spans="1:9">
      <c r="A15" s="35"/>
      <c r="D15" s="68"/>
      <c r="E15" s="68"/>
      <c r="F15" s="67"/>
      <c r="G15" s="67"/>
      <c r="H15" s="67"/>
      <c r="I15" s="67"/>
    </row>
    <row r="16" spans="1:9">
      <c r="A16" s="30" t="s">
        <v>43</v>
      </c>
      <c r="B16" s="24" t="s">
        <v>0</v>
      </c>
      <c r="D16" s="68" t="s">
        <v>0</v>
      </c>
      <c r="E16" s="68" t="s">
        <v>0</v>
      </c>
      <c r="F16" s="67" t="s">
        <v>0</v>
      </c>
      <c r="G16" s="67" t="s">
        <v>0</v>
      </c>
      <c r="H16" s="67" t="s">
        <v>0</v>
      </c>
      <c r="I16" s="67" t="s">
        <v>0</v>
      </c>
    </row>
    <row r="17" spans="1:59">
      <c r="A17" s="35" t="s">
        <v>22</v>
      </c>
      <c r="B17" s="24" t="s">
        <v>61</v>
      </c>
      <c r="D17" s="68">
        <v>0</v>
      </c>
      <c r="E17" s="68">
        <v>0</v>
      </c>
      <c r="F17" s="67">
        <v>500</v>
      </c>
      <c r="G17" s="67">
        <v>500</v>
      </c>
      <c r="H17" s="67">
        <v>500</v>
      </c>
      <c r="I17" s="67"/>
    </row>
    <row r="18" spans="1:59">
      <c r="A18" s="35" t="s">
        <v>30</v>
      </c>
      <c r="B18" s="24" t="s">
        <v>69</v>
      </c>
      <c r="D18" s="68">
        <v>0</v>
      </c>
      <c r="E18" s="68">
        <v>0</v>
      </c>
      <c r="F18" s="67">
        <v>1385</v>
      </c>
      <c r="G18" s="67">
        <v>1385</v>
      </c>
      <c r="H18" s="67">
        <v>1385</v>
      </c>
      <c r="I18" s="67"/>
    </row>
    <row r="19" spans="1:59">
      <c r="A19" s="35"/>
      <c r="D19" s="94">
        <f t="shared" ref="D19:I19" si="3">SUM(D17:D18)</f>
        <v>0</v>
      </c>
      <c r="E19" s="94">
        <f t="shared" si="3"/>
        <v>0</v>
      </c>
      <c r="F19" s="79">
        <f t="shared" si="3"/>
        <v>1885</v>
      </c>
      <c r="G19" s="79">
        <f t="shared" ref="G19" si="4">SUM(G17:G18)</f>
        <v>1885</v>
      </c>
      <c r="H19" s="79">
        <f>SUM(H17:H18)</f>
        <v>1885</v>
      </c>
      <c r="I19" s="79">
        <f t="shared" si="3"/>
        <v>0</v>
      </c>
    </row>
    <row r="20" spans="1:59">
      <c r="A20" s="35"/>
      <c r="D20" s="250"/>
      <c r="E20" s="250"/>
      <c r="F20" s="250"/>
      <c r="G20" s="353"/>
      <c r="H20" s="29"/>
      <c r="I20" s="29"/>
    </row>
    <row r="21" spans="1:59">
      <c r="A21" s="30" t="s">
        <v>40</v>
      </c>
      <c r="D21" s="210">
        <f t="shared" ref="D21:I21" si="5">+D19+D14+D9</f>
        <v>31000</v>
      </c>
      <c r="E21" s="210">
        <f t="shared" si="5"/>
        <v>31000</v>
      </c>
      <c r="F21" s="210">
        <f t="shared" si="5"/>
        <v>35885</v>
      </c>
      <c r="G21" s="354">
        <f>+G19+G14+G9</f>
        <v>35885</v>
      </c>
      <c r="H21" s="202">
        <f t="shared" si="5"/>
        <v>35885</v>
      </c>
      <c r="I21" s="202">
        <f t="shared" si="5"/>
        <v>0</v>
      </c>
    </row>
    <row r="22" spans="1:59" customFormat="1">
      <c r="D22" s="91"/>
      <c r="E22" s="91"/>
      <c r="G22" s="262"/>
    </row>
    <row r="23" spans="1:59" customFormat="1">
      <c r="D23" s="372"/>
      <c r="E23" s="375"/>
      <c r="F23" s="185"/>
      <c r="G23" s="202"/>
    </row>
    <row r="26" spans="1:59"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>
      <c r="AT27" s="62"/>
      <c r="AU27" s="62"/>
      <c r="AV27" s="62"/>
      <c r="AW27" s="62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28</oddFooter>
  </headerFooter>
  <ignoredErrors>
    <ignoredError sqref="A7 A12 A14:A20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>
      <selection activeCell="C5" sqref="C5"/>
    </sheetView>
  </sheetViews>
  <sheetFormatPr defaultColWidth="9" defaultRowHeight="15"/>
  <cols>
    <col min="1" max="1" width="19" style="24" customWidth="1"/>
    <col min="2" max="2" width="10.42578125" style="24" customWidth="1"/>
    <col min="3" max="3" width="7.28515625" style="24" customWidth="1"/>
    <col min="4" max="4" width="5.5703125" style="24" customWidth="1"/>
    <col min="5" max="5" width="6.28515625" style="24" customWidth="1"/>
    <col min="6" max="6" width="11.42578125" style="24" customWidth="1"/>
    <col min="7" max="7" width="0" style="24" hidden="1" customWidth="1"/>
    <col min="8" max="9" width="9" style="24"/>
    <col min="10" max="10" width="9" style="24" customWidth="1"/>
    <col min="11" max="13" width="6.5703125" style="24" customWidth="1"/>
    <col min="14" max="14" width="11.5703125" style="24" customWidth="1"/>
    <col min="15" max="15" width="11.5703125" style="24" hidden="1" customWidth="1"/>
    <col min="16" max="18" width="11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364" t="s">
        <v>118</v>
      </c>
      <c r="C2" s="365"/>
      <c r="D2" s="365"/>
      <c r="E2" s="365"/>
      <c r="F2" s="365"/>
      <c r="G2" s="365"/>
      <c r="H2" s="365"/>
      <c r="I2" s="365"/>
      <c r="J2" s="365"/>
      <c r="K2" s="366"/>
      <c r="L2" s="365"/>
      <c r="M2" s="365"/>
      <c r="N2" s="365"/>
      <c r="O2" s="365"/>
      <c r="P2" s="365"/>
      <c r="Q2" s="365"/>
      <c r="R2" s="365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45</v>
      </c>
      <c r="K8" s="53"/>
    </row>
    <row r="9" spans="1:18">
      <c r="A9" s="24" t="s">
        <v>371</v>
      </c>
      <c r="B9" s="189"/>
      <c r="C9" s="42"/>
      <c r="F9" s="36">
        <v>15000</v>
      </c>
      <c r="K9" s="44"/>
      <c r="N9" s="36">
        <v>15000</v>
      </c>
    </row>
    <row r="10" spans="1:18">
      <c r="B10" s="189"/>
      <c r="C10" s="42"/>
      <c r="F10" s="36"/>
      <c r="K10" s="44"/>
      <c r="N10" s="36"/>
    </row>
    <row r="11" spans="1:18">
      <c r="A11" s="24" t="s">
        <v>51</v>
      </c>
      <c r="B11" s="189"/>
      <c r="C11" s="42"/>
      <c r="F11" s="36"/>
      <c r="K11" s="44"/>
      <c r="N11" s="36"/>
    </row>
    <row r="12" spans="1:18">
      <c r="A12" s="24" t="s">
        <v>411</v>
      </c>
      <c r="B12" s="189"/>
      <c r="C12" s="42"/>
      <c r="F12" s="36">
        <v>10000</v>
      </c>
      <c r="K12" s="44"/>
      <c r="N12" s="36">
        <v>10000</v>
      </c>
    </row>
    <row r="13" spans="1:18">
      <c r="A13" s="24" t="s">
        <v>743</v>
      </c>
      <c r="B13" s="189"/>
      <c r="C13" s="42"/>
      <c r="F13" s="36">
        <v>2000</v>
      </c>
      <c r="K13" s="44"/>
      <c r="N13" s="36">
        <v>2000</v>
      </c>
    </row>
    <row r="14" spans="1:18">
      <c r="A14" s="24" t="s">
        <v>501</v>
      </c>
      <c r="B14" s="189"/>
      <c r="C14" s="42"/>
      <c r="F14" s="36">
        <v>2000</v>
      </c>
      <c r="K14" s="44"/>
      <c r="N14" s="36">
        <v>2000</v>
      </c>
    </row>
    <row r="15" spans="1:18">
      <c r="A15" s="24" t="s">
        <v>591</v>
      </c>
      <c r="B15" s="189"/>
      <c r="F15" s="36">
        <v>2000</v>
      </c>
      <c r="K15" s="53"/>
      <c r="N15" s="36">
        <v>2000</v>
      </c>
    </row>
    <row r="16" spans="1:18">
      <c r="F16" s="36"/>
      <c r="K16" s="53"/>
      <c r="N16" s="36"/>
    </row>
    <row r="17" spans="1:14">
      <c r="K17" s="53"/>
    </row>
    <row r="18" spans="1:14">
      <c r="A18" s="40" t="s">
        <v>96</v>
      </c>
      <c r="B18" s="42"/>
      <c r="F18" s="36"/>
      <c r="K18" s="53"/>
      <c r="N18" s="36"/>
    </row>
    <row r="19" spans="1:14">
      <c r="A19" s="24" t="s">
        <v>45</v>
      </c>
      <c r="B19" s="42"/>
      <c r="F19" s="36">
        <f>+F9</f>
        <v>15000</v>
      </c>
      <c r="K19" s="53"/>
      <c r="N19" s="36">
        <f>+N9</f>
        <v>15000</v>
      </c>
    </row>
    <row r="20" spans="1:14">
      <c r="A20" s="24" t="s">
        <v>51</v>
      </c>
      <c r="B20" s="42"/>
      <c r="F20" s="54">
        <f>SUM(F12:F15)</f>
        <v>16000</v>
      </c>
      <c r="K20" s="53"/>
      <c r="N20" s="54">
        <f>SUM(N12:N16)</f>
        <v>16000</v>
      </c>
    </row>
    <row r="21" spans="1:14">
      <c r="A21" s="24" t="s">
        <v>52</v>
      </c>
      <c r="B21" s="42"/>
      <c r="F21" s="54">
        <v>0</v>
      </c>
      <c r="K21" s="53"/>
      <c r="N21" s="54">
        <v>0</v>
      </c>
    </row>
    <row r="22" spans="1:14">
      <c r="B22" s="42"/>
      <c r="F22" s="54"/>
      <c r="K22" s="53"/>
      <c r="N22" s="54"/>
    </row>
    <row r="23" spans="1:14">
      <c r="A23" s="42" t="s">
        <v>337</v>
      </c>
      <c r="B23" s="42"/>
      <c r="F23" s="192">
        <f>SUM(F19:F21)</f>
        <v>31000</v>
      </c>
      <c r="K23" s="53"/>
      <c r="N23" s="192">
        <f>SUM(N19:N21)</f>
        <v>31000</v>
      </c>
    </row>
    <row r="25" spans="1:14">
      <c r="B25" s="42"/>
    </row>
    <row r="26" spans="1:14">
      <c r="B26" s="42"/>
    </row>
    <row r="27" spans="1:14">
      <c r="B27" s="42"/>
    </row>
    <row r="28" spans="1:14">
      <c r="B28" s="42"/>
    </row>
    <row r="29" spans="1:14">
      <c r="B29" s="42"/>
    </row>
    <row r="30" spans="1:14">
      <c r="B30" s="42"/>
    </row>
    <row r="35" spans="2:2">
      <c r="B35" s="59"/>
    </row>
  </sheetData>
  <phoneticPr fontId="0" type="noConversion"/>
  <printOptions horizontalCentered="1" gridLines="1"/>
  <pageMargins left="0.45" right="0.35" top="0.75" bottom="1" header="0.3" footer="0.3"/>
  <pageSetup scale="84" orientation="landscape" r:id="rId1"/>
  <headerFooter>
    <oddFooter>&amp;L&amp;D FY25 Budget&amp;CPage 29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0"/>
  <sheetViews>
    <sheetView workbookViewId="0">
      <selection activeCell="H22" sqref="H22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427</v>
      </c>
    </row>
    <row r="3" spans="1:9">
      <c r="A3" s="30" t="s">
        <v>492</v>
      </c>
      <c r="D3" s="93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9">
      <c r="A6" s="34" t="s">
        <v>38</v>
      </c>
      <c r="I6" s="36"/>
    </row>
    <row r="7" spans="1:9">
      <c r="A7" s="35" t="s">
        <v>2</v>
      </c>
      <c r="B7" s="24" t="s">
        <v>46</v>
      </c>
      <c r="D7" s="430">
        <v>21896</v>
      </c>
      <c r="E7" s="430">
        <v>28751</v>
      </c>
      <c r="F7" s="431">
        <v>23418</v>
      </c>
      <c r="G7" s="431">
        <f>'Pers 292'!N14</f>
        <v>24121</v>
      </c>
      <c r="H7" s="431">
        <v>24121</v>
      </c>
      <c r="I7" s="431"/>
    </row>
    <row r="8" spans="1:9">
      <c r="A8" s="35" t="s">
        <v>5</v>
      </c>
      <c r="B8" s="24" t="s">
        <v>48</v>
      </c>
      <c r="D8" s="430">
        <v>0</v>
      </c>
      <c r="E8" s="430">
        <v>0</v>
      </c>
      <c r="F8" s="431">
        <v>1500</v>
      </c>
      <c r="G8" s="431">
        <f>'Pers 292'!N15</f>
        <v>1500</v>
      </c>
      <c r="H8" s="431">
        <v>1500</v>
      </c>
      <c r="I8" s="431"/>
    </row>
    <row r="9" spans="1:9">
      <c r="A9" s="74">
        <v>5192</v>
      </c>
      <c r="B9" s="24" t="s">
        <v>342</v>
      </c>
      <c r="D9" s="430">
        <v>0</v>
      </c>
      <c r="E9" s="430">
        <v>0</v>
      </c>
      <c r="F9" s="431">
        <v>0</v>
      </c>
      <c r="G9" s="431">
        <v>0</v>
      </c>
      <c r="H9" s="431">
        <v>0</v>
      </c>
      <c r="I9" s="431"/>
    </row>
    <row r="10" spans="1:9">
      <c r="A10" s="35"/>
      <c r="D10" s="377">
        <f t="shared" ref="D10:I10" si="0">SUM(D7:D9)</f>
        <v>21896</v>
      </c>
      <c r="E10" s="377">
        <f t="shared" si="0"/>
        <v>28751</v>
      </c>
      <c r="F10" s="295">
        <f t="shared" si="0"/>
        <v>24918</v>
      </c>
      <c r="G10" s="295">
        <f t="shared" si="0"/>
        <v>25621</v>
      </c>
      <c r="H10" s="295">
        <f>SUM(H7:H9)</f>
        <v>25621</v>
      </c>
      <c r="I10" s="295">
        <f t="shared" si="0"/>
        <v>0</v>
      </c>
    </row>
    <row r="11" spans="1:9">
      <c r="A11" s="35"/>
      <c r="D11" s="302"/>
      <c r="E11" s="302"/>
      <c r="F11" s="22"/>
      <c r="G11" s="22"/>
      <c r="H11" s="22"/>
      <c r="I11" s="22"/>
    </row>
    <row r="12" spans="1:9">
      <c r="A12" s="30" t="s">
        <v>43</v>
      </c>
      <c r="B12" s="24" t="s">
        <v>0</v>
      </c>
      <c r="D12" s="376" t="s">
        <v>0</v>
      </c>
      <c r="E12" s="376" t="s">
        <v>0</v>
      </c>
      <c r="F12" s="201" t="s">
        <v>0</v>
      </c>
      <c r="G12" s="201" t="s">
        <v>0</v>
      </c>
      <c r="H12" s="201" t="s">
        <v>0</v>
      </c>
      <c r="I12" s="201" t="s">
        <v>0</v>
      </c>
    </row>
    <row r="13" spans="1:9">
      <c r="A13" s="35" t="s">
        <v>21</v>
      </c>
      <c r="B13" s="24" t="s">
        <v>60</v>
      </c>
      <c r="D13" s="376">
        <v>191</v>
      </c>
      <c r="E13" s="376">
        <v>155</v>
      </c>
      <c r="F13" s="201">
        <v>200</v>
      </c>
      <c r="G13" s="201">
        <v>200</v>
      </c>
      <c r="H13" s="201">
        <v>200</v>
      </c>
      <c r="I13" s="201"/>
    </row>
    <row r="14" spans="1:9">
      <c r="A14" s="35" t="s">
        <v>23</v>
      </c>
      <c r="B14" s="24" t="s">
        <v>62</v>
      </c>
      <c r="D14" s="376">
        <v>0</v>
      </c>
      <c r="E14" s="376">
        <v>0</v>
      </c>
      <c r="F14" s="201">
        <v>0</v>
      </c>
      <c r="G14" s="201">
        <v>0</v>
      </c>
      <c r="H14" s="201">
        <v>0</v>
      </c>
      <c r="I14" s="201"/>
    </row>
    <row r="15" spans="1:9">
      <c r="A15" s="74">
        <v>5480</v>
      </c>
      <c r="B15" s="24" t="s">
        <v>582</v>
      </c>
      <c r="D15" s="376">
        <v>7498</v>
      </c>
      <c r="E15" s="376">
        <v>1473</v>
      </c>
      <c r="F15" s="201">
        <v>2000</v>
      </c>
      <c r="G15" s="201">
        <v>2000</v>
      </c>
      <c r="H15" s="201">
        <v>2000</v>
      </c>
      <c r="I15" s="201"/>
    </row>
    <row r="16" spans="1:9">
      <c r="A16" s="74">
        <v>5482</v>
      </c>
      <c r="B16" s="24" t="s">
        <v>647</v>
      </c>
      <c r="D16" s="376">
        <v>0</v>
      </c>
      <c r="E16" s="376">
        <v>0</v>
      </c>
      <c r="F16" s="201">
        <v>2000</v>
      </c>
      <c r="G16" s="201">
        <v>2000</v>
      </c>
      <c r="H16" s="201">
        <v>2000</v>
      </c>
      <c r="I16" s="201"/>
    </row>
    <row r="17" spans="1:59">
      <c r="A17" s="35" t="s">
        <v>30</v>
      </c>
      <c r="B17" s="24" t="s">
        <v>614</v>
      </c>
      <c r="D17" s="376">
        <v>1741</v>
      </c>
      <c r="E17" s="376">
        <v>394</v>
      </c>
      <c r="F17" s="201">
        <v>1000</v>
      </c>
      <c r="G17" s="201">
        <v>500</v>
      </c>
      <c r="H17" s="201">
        <v>500</v>
      </c>
      <c r="I17" s="201"/>
    </row>
    <row r="18" spans="1:59">
      <c r="A18" s="35"/>
      <c r="D18" s="377">
        <f t="shared" ref="D18:I18" si="1">SUM(D13:D17)</f>
        <v>9430</v>
      </c>
      <c r="E18" s="377">
        <f t="shared" si="1"/>
        <v>2022</v>
      </c>
      <c r="F18" s="295">
        <f t="shared" si="1"/>
        <v>5200</v>
      </c>
      <c r="G18" s="295">
        <f t="shared" si="1"/>
        <v>4700</v>
      </c>
      <c r="H18" s="295">
        <f>SUM(H13:H17)</f>
        <v>4700</v>
      </c>
      <c r="I18" s="295">
        <f t="shared" si="1"/>
        <v>0</v>
      </c>
    </row>
    <row r="19" spans="1:59">
      <c r="A19" s="30" t="s">
        <v>39</v>
      </c>
      <c r="D19" s="376"/>
      <c r="E19" s="376"/>
      <c r="F19" s="201"/>
      <c r="G19" s="201"/>
      <c r="H19" s="201"/>
      <c r="I19" s="201"/>
    </row>
    <row r="20" spans="1:59">
      <c r="A20" s="35" t="s">
        <v>33</v>
      </c>
      <c r="B20" s="24" t="s">
        <v>71</v>
      </c>
      <c r="D20" s="376">
        <v>0</v>
      </c>
      <c r="E20" s="376">
        <v>0</v>
      </c>
      <c r="F20" s="201">
        <v>300</v>
      </c>
      <c r="G20" s="201">
        <v>300</v>
      </c>
      <c r="H20" s="201">
        <v>300</v>
      </c>
      <c r="I20" s="201"/>
    </row>
    <row r="21" spans="1:59">
      <c r="A21" s="35" t="s">
        <v>35</v>
      </c>
      <c r="B21" s="24" t="s">
        <v>451</v>
      </c>
      <c r="D21" s="376">
        <v>0</v>
      </c>
      <c r="E21" s="376">
        <v>345</v>
      </c>
      <c r="F21" s="201">
        <v>1000</v>
      </c>
      <c r="G21" s="201">
        <v>1000</v>
      </c>
      <c r="H21" s="201">
        <v>1000</v>
      </c>
      <c r="I21" s="201"/>
    </row>
    <row r="22" spans="1:59">
      <c r="A22" s="35"/>
      <c r="D22" s="377">
        <f t="shared" ref="D22:I22" si="2">SUM(D20:D21)</f>
        <v>0</v>
      </c>
      <c r="E22" s="377">
        <f t="shared" si="2"/>
        <v>345</v>
      </c>
      <c r="F22" s="295">
        <f t="shared" si="2"/>
        <v>1300</v>
      </c>
      <c r="G22" s="295">
        <f t="shared" si="2"/>
        <v>1300</v>
      </c>
      <c r="H22" s="295">
        <f>SUM(H20:H21)</f>
        <v>1300</v>
      </c>
      <c r="I22" s="295">
        <f t="shared" si="2"/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</row>
    <row r="23" spans="1:59">
      <c r="A23" s="35"/>
      <c r="D23" s="68"/>
      <c r="E23" s="68"/>
      <c r="F23" s="67"/>
      <c r="G23" s="67"/>
      <c r="H23" s="67"/>
      <c r="I23" s="67"/>
      <c r="AT23" s="62"/>
      <c r="AU23" s="62"/>
      <c r="AV23" s="62"/>
      <c r="AW23" s="62"/>
    </row>
    <row r="24" spans="1:59">
      <c r="D24" s="68"/>
      <c r="E24" s="68"/>
      <c r="F24" s="68"/>
      <c r="G24" s="67"/>
      <c r="H24" s="67"/>
      <c r="I24" s="67"/>
    </row>
    <row r="25" spans="1:59">
      <c r="A25" s="30" t="s">
        <v>40</v>
      </c>
      <c r="D25" s="210">
        <f>+D22+D18+D10</f>
        <v>31326</v>
      </c>
      <c r="E25" s="210">
        <f t="shared" ref="E25:I25" si="3">+E22+E18+E10</f>
        <v>31118</v>
      </c>
      <c r="F25" s="210">
        <f t="shared" si="3"/>
        <v>31418</v>
      </c>
      <c r="G25" s="210">
        <f t="shared" si="3"/>
        <v>31621</v>
      </c>
      <c r="H25" s="210">
        <f t="shared" si="3"/>
        <v>31621</v>
      </c>
      <c r="I25" s="210">
        <f t="shared" si="3"/>
        <v>0</v>
      </c>
    </row>
    <row r="26" spans="1:59" customFormat="1">
      <c r="D26" s="91"/>
      <c r="E26" s="91"/>
    </row>
    <row r="27" spans="1:59" customFormat="1">
      <c r="D27" s="372"/>
      <c r="E27" s="386"/>
      <c r="F27" s="289"/>
      <c r="G27" s="289"/>
      <c r="H27" s="259"/>
    </row>
    <row r="28" spans="1:59" customFormat="1">
      <c r="D28" s="91"/>
      <c r="E28" s="91"/>
    </row>
    <row r="29" spans="1:59" customFormat="1">
      <c r="D29" s="91"/>
      <c r="E29" s="91"/>
    </row>
    <row r="30" spans="1:59">
      <c r="F30" s="36"/>
      <c r="G30" s="36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30</oddFooter>
  </headerFooter>
  <ignoredErrors>
    <ignoredError sqref="A17:A21 A7:A8 A12:A14 A1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>
      <selection activeCell="C9" sqref="C9"/>
    </sheetView>
  </sheetViews>
  <sheetFormatPr defaultColWidth="9" defaultRowHeight="15"/>
  <cols>
    <col min="1" max="1" width="12.42578125" style="24" customWidth="1"/>
    <col min="2" max="2" width="9.5703125" style="24" bestFit="1" customWidth="1"/>
    <col min="3" max="5" width="6.5703125" style="24" customWidth="1"/>
    <col min="6" max="6" width="11.5703125" style="24" customWidth="1"/>
    <col min="7" max="7" width="11.5703125" style="24" hidden="1" customWidth="1"/>
    <col min="8" max="10" width="11.5703125" style="24" customWidth="1"/>
    <col min="11" max="13" width="9" style="24"/>
    <col min="14" max="14" width="12.5703125" style="24" customWidth="1"/>
    <col min="15" max="15" width="12.5703125" style="24" hidden="1" customWidth="1"/>
    <col min="16" max="18" width="12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117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46</v>
      </c>
      <c r="K8" s="53"/>
    </row>
    <row r="9" spans="1:18">
      <c r="A9" s="24" t="s">
        <v>613</v>
      </c>
      <c r="B9" s="189">
        <v>44578</v>
      </c>
      <c r="D9" s="42"/>
      <c r="E9" s="42"/>
      <c r="F9" s="36">
        <v>23418</v>
      </c>
      <c r="G9" s="36">
        <v>1112.31</v>
      </c>
      <c r="H9" s="36"/>
      <c r="I9" s="65">
        <v>0</v>
      </c>
      <c r="J9" s="36">
        <v>0</v>
      </c>
      <c r="K9" s="53"/>
      <c r="L9" s="42"/>
      <c r="M9" s="42"/>
      <c r="N9" s="63">
        <v>24120.54</v>
      </c>
      <c r="O9" s="36">
        <f>+G9*1.03</f>
        <v>1145.6793</v>
      </c>
      <c r="P9" s="36"/>
      <c r="Q9" s="65">
        <v>0</v>
      </c>
      <c r="R9" s="36">
        <v>0</v>
      </c>
    </row>
    <row r="10" spans="1:18">
      <c r="B10" s="59"/>
      <c r="F10" s="36"/>
      <c r="G10" s="36"/>
      <c r="H10" s="36"/>
      <c r="I10" s="36"/>
      <c r="J10" s="36"/>
      <c r="K10" s="53"/>
      <c r="N10" s="36"/>
      <c r="O10" s="36"/>
      <c r="P10" s="36"/>
      <c r="Q10" s="36"/>
      <c r="R10" s="36"/>
    </row>
    <row r="11" spans="1:18">
      <c r="B11" s="59"/>
      <c r="D11" s="42"/>
      <c r="E11" s="42"/>
      <c r="F11" s="36"/>
      <c r="G11" s="36"/>
      <c r="H11" s="36"/>
      <c r="I11" s="36"/>
      <c r="J11" s="36"/>
      <c r="K11" s="53"/>
      <c r="L11" s="42"/>
      <c r="M11" s="42"/>
      <c r="N11" s="36"/>
      <c r="O11" s="36"/>
      <c r="P11" s="36"/>
      <c r="Q11" s="36"/>
      <c r="R11" s="36"/>
    </row>
    <row r="12" spans="1:18">
      <c r="B12" s="59"/>
      <c r="D12" s="42"/>
      <c r="E12" s="42"/>
      <c r="F12" s="36"/>
      <c r="G12" s="36"/>
      <c r="H12" s="36"/>
      <c r="I12" s="36"/>
      <c r="J12" s="36"/>
      <c r="K12" s="53"/>
      <c r="L12" s="42"/>
      <c r="M12" s="42"/>
      <c r="N12" s="36"/>
      <c r="O12" s="36"/>
      <c r="P12" s="36"/>
      <c r="Q12" s="36"/>
      <c r="R12" s="36"/>
    </row>
    <row r="13" spans="1:18">
      <c r="A13" s="40" t="s">
        <v>96</v>
      </c>
      <c r="B13" s="42"/>
      <c r="F13" s="36"/>
      <c r="K13" s="53"/>
      <c r="N13" s="36"/>
    </row>
    <row r="14" spans="1:18">
      <c r="A14" s="24" t="s">
        <v>46</v>
      </c>
      <c r="B14" s="42"/>
      <c r="F14" s="36">
        <v>23418</v>
      </c>
      <c r="K14" s="53"/>
      <c r="N14" s="36">
        <v>24121</v>
      </c>
    </row>
    <row r="15" spans="1:18">
      <c r="A15" s="24" t="s">
        <v>48</v>
      </c>
      <c r="B15" s="42"/>
      <c r="F15" s="36">
        <v>1500</v>
      </c>
      <c r="K15" s="53"/>
      <c r="N15" s="36">
        <v>1500</v>
      </c>
    </row>
    <row r="16" spans="1:18">
      <c r="A16" s="24" t="s">
        <v>52</v>
      </c>
      <c r="B16" s="42"/>
      <c r="F16" s="54">
        <f>ROUND(J7+F10,0)</f>
        <v>0</v>
      </c>
      <c r="K16" s="53"/>
      <c r="N16" s="54">
        <v>0</v>
      </c>
    </row>
    <row r="17" spans="1:18">
      <c r="B17" s="42"/>
      <c r="F17" s="54"/>
      <c r="K17" s="53"/>
      <c r="N17" s="54"/>
    </row>
    <row r="18" spans="1:18">
      <c r="A18" s="42" t="s">
        <v>337</v>
      </c>
      <c r="B18" s="42"/>
      <c r="F18" s="186">
        <f>SUM(F14:F16)</f>
        <v>24918</v>
      </c>
      <c r="K18" s="53"/>
      <c r="N18" s="186">
        <f>SUM(N14:N16)</f>
        <v>25621</v>
      </c>
    </row>
    <row r="19" spans="1:18">
      <c r="B19" s="59"/>
      <c r="D19" s="42"/>
      <c r="E19" s="42"/>
      <c r="F19" s="36"/>
      <c r="G19" s="36"/>
      <c r="H19" s="36"/>
      <c r="I19" s="36"/>
      <c r="J19" s="36"/>
      <c r="L19" s="42"/>
      <c r="M19" s="42"/>
      <c r="N19" s="36"/>
      <c r="O19" s="36"/>
      <c r="P19" s="36"/>
      <c r="Q19" s="36"/>
      <c r="R19" s="36"/>
    </row>
    <row r="20" spans="1:18">
      <c r="B20" s="42"/>
    </row>
    <row r="21" spans="1:18">
      <c r="B21" s="42"/>
      <c r="F21" s="60" t="s">
        <v>626</v>
      </c>
      <c r="N21" s="60" t="s">
        <v>666</v>
      </c>
    </row>
    <row r="22" spans="1:18">
      <c r="B22" s="42"/>
      <c r="F22" s="60" t="s">
        <v>625</v>
      </c>
      <c r="N22" s="60" t="s">
        <v>664</v>
      </c>
    </row>
    <row r="23" spans="1:18">
      <c r="B23" s="42"/>
      <c r="F23" s="313" t="s">
        <v>97</v>
      </c>
      <c r="G23" s="62"/>
      <c r="H23" s="62"/>
      <c r="I23" s="62"/>
      <c r="K23" s="62"/>
      <c r="L23" s="62"/>
      <c r="M23" s="62"/>
      <c r="N23" s="313" t="s">
        <v>97</v>
      </c>
    </row>
    <row r="24" spans="1:18">
      <c r="B24" s="42"/>
      <c r="F24" s="24" t="s">
        <v>640</v>
      </c>
    </row>
    <row r="25" spans="1:18">
      <c r="F25" s="24" t="s">
        <v>646</v>
      </c>
    </row>
    <row r="29" spans="1:18">
      <c r="B29" s="59"/>
    </row>
  </sheetData>
  <phoneticPr fontId="0" type="noConversion"/>
  <printOptions horizontalCentered="1" gridLines="1"/>
  <pageMargins left="0.45" right="0.35" top="0.75" bottom="1" header="0.3" footer="0.3"/>
  <pageSetup scale="78" orientation="landscape" r:id="rId1"/>
  <headerFooter>
    <oddFooter>&amp;L&amp;D FY25 Budget&amp;CPage 31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9"/>
  <sheetViews>
    <sheetView workbookViewId="0">
      <selection activeCell="H13" sqref="H13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428</v>
      </c>
    </row>
    <row r="3" spans="1:9">
      <c r="A3" s="30" t="s">
        <v>133</v>
      </c>
      <c r="D3" s="93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449">
        <v>14189</v>
      </c>
      <c r="E7" s="449">
        <v>15053</v>
      </c>
      <c r="F7" s="450">
        <v>15422</v>
      </c>
      <c r="G7" s="450">
        <f>'Pers 297'!O15</f>
        <v>17784</v>
      </c>
      <c r="H7" s="450">
        <v>17784</v>
      </c>
      <c r="I7" s="450"/>
    </row>
    <row r="8" spans="1:9">
      <c r="A8" s="35" t="s">
        <v>10</v>
      </c>
      <c r="B8" s="24" t="s">
        <v>52</v>
      </c>
      <c r="D8" s="449">
        <v>0</v>
      </c>
      <c r="E8" s="449">
        <v>0</v>
      </c>
      <c r="F8" s="450">
        <v>0</v>
      </c>
      <c r="G8" s="450">
        <v>0</v>
      </c>
      <c r="H8" s="450">
        <v>0</v>
      </c>
      <c r="I8" s="450"/>
    </row>
    <row r="9" spans="1:9">
      <c r="A9" s="35"/>
      <c r="D9" s="451">
        <f t="shared" ref="D9:I9" si="0">SUM(D7:D8)</f>
        <v>14189</v>
      </c>
      <c r="E9" s="451">
        <f t="shared" si="0"/>
        <v>15053</v>
      </c>
      <c r="F9" s="452">
        <f t="shared" si="0"/>
        <v>15422</v>
      </c>
      <c r="G9" s="452">
        <f t="shared" si="0"/>
        <v>17784</v>
      </c>
      <c r="H9" s="452">
        <f t="shared" si="0"/>
        <v>17784</v>
      </c>
      <c r="I9" s="452">
        <f t="shared" si="0"/>
        <v>0</v>
      </c>
    </row>
    <row r="10" spans="1:9">
      <c r="A10" s="35"/>
      <c r="B10" s="30"/>
      <c r="D10" s="449"/>
      <c r="E10" s="449"/>
      <c r="F10" s="450"/>
      <c r="G10" s="450"/>
      <c r="H10" s="450"/>
      <c r="I10" s="450"/>
    </row>
    <row r="11" spans="1:9">
      <c r="A11" s="30" t="s">
        <v>44</v>
      </c>
      <c r="D11" s="449"/>
      <c r="E11" s="449"/>
      <c r="F11" s="450"/>
      <c r="G11" s="450"/>
      <c r="H11" s="450"/>
      <c r="I11" s="450"/>
    </row>
    <row r="12" spans="1:9">
      <c r="A12" s="35" t="s">
        <v>20</v>
      </c>
      <c r="B12" s="24" t="s">
        <v>59</v>
      </c>
      <c r="D12" s="449">
        <v>0</v>
      </c>
      <c r="E12" s="449">
        <v>0</v>
      </c>
      <c r="F12" s="450">
        <v>0</v>
      </c>
      <c r="G12" s="450">
        <v>0</v>
      </c>
      <c r="H12" s="450">
        <v>0</v>
      </c>
      <c r="I12" s="450"/>
    </row>
    <row r="13" spans="1:9">
      <c r="A13" s="35"/>
      <c r="D13" s="451">
        <f t="shared" ref="D13:I13" si="1">SUM(D12)</f>
        <v>0</v>
      </c>
      <c r="E13" s="451">
        <f>SUM(E12)</f>
        <v>0</v>
      </c>
      <c r="F13" s="452">
        <f t="shared" si="1"/>
        <v>0</v>
      </c>
      <c r="G13" s="452">
        <f>SUM(G12)</f>
        <v>0</v>
      </c>
      <c r="H13" s="452">
        <f>SUM(H12)</f>
        <v>0</v>
      </c>
      <c r="I13" s="452">
        <f t="shared" si="1"/>
        <v>0</v>
      </c>
    </row>
    <row r="14" spans="1:9">
      <c r="A14" s="35"/>
      <c r="D14" s="449"/>
      <c r="E14" s="449"/>
      <c r="F14" s="450"/>
      <c r="G14" s="450"/>
      <c r="H14" s="450"/>
      <c r="I14" s="450"/>
    </row>
    <row r="15" spans="1:9">
      <c r="A15" s="30" t="s">
        <v>43</v>
      </c>
      <c r="B15" s="24" t="s">
        <v>0</v>
      </c>
      <c r="D15" s="449" t="s">
        <v>0</v>
      </c>
      <c r="E15" s="449" t="s">
        <v>0</v>
      </c>
      <c r="F15" s="450" t="s">
        <v>0</v>
      </c>
      <c r="G15" s="450" t="s">
        <v>0</v>
      </c>
      <c r="H15" s="450" t="s">
        <v>0</v>
      </c>
      <c r="I15" s="450" t="s">
        <v>0</v>
      </c>
    </row>
    <row r="16" spans="1:9">
      <c r="A16" s="35" t="s">
        <v>30</v>
      </c>
      <c r="B16" s="24" t="s">
        <v>69</v>
      </c>
      <c r="D16" s="449">
        <v>0</v>
      </c>
      <c r="E16" s="449">
        <v>0</v>
      </c>
      <c r="F16" s="450">
        <v>0</v>
      </c>
      <c r="G16" s="450">
        <v>0</v>
      </c>
      <c r="H16" s="450"/>
      <c r="I16" s="450"/>
    </row>
    <row r="17" spans="1:59">
      <c r="A17" s="35"/>
      <c r="D17" s="451">
        <f t="shared" ref="D17:I17" si="2">SUM(D16)</f>
        <v>0</v>
      </c>
      <c r="E17" s="451">
        <f>SUM(E16)</f>
        <v>0</v>
      </c>
      <c r="F17" s="452">
        <f t="shared" si="2"/>
        <v>0</v>
      </c>
      <c r="G17" s="452">
        <f>SUM(G16)</f>
        <v>0</v>
      </c>
      <c r="H17" s="452">
        <f>SUM(H16)</f>
        <v>0</v>
      </c>
      <c r="I17" s="452">
        <f t="shared" si="2"/>
        <v>0</v>
      </c>
    </row>
    <row r="18" spans="1:59">
      <c r="A18" s="35"/>
      <c r="D18" s="68"/>
      <c r="E18" s="68"/>
      <c r="F18" s="67"/>
      <c r="G18" s="67"/>
      <c r="H18" s="67"/>
      <c r="I18" s="67"/>
    </row>
    <row r="19" spans="1:59">
      <c r="D19" s="68"/>
      <c r="E19" s="68"/>
      <c r="F19" s="67"/>
      <c r="G19" s="67"/>
      <c r="H19" s="67"/>
      <c r="I19" s="67"/>
    </row>
    <row r="20" spans="1:59">
      <c r="A20" s="30" t="s">
        <v>40</v>
      </c>
      <c r="D20" s="210">
        <f t="shared" ref="D20:I20" si="3">+D9+D13+D17</f>
        <v>14189</v>
      </c>
      <c r="E20" s="210">
        <f t="shared" si="3"/>
        <v>15053</v>
      </c>
      <c r="F20" s="210">
        <f t="shared" si="3"/>
        <v>15422</v>
      </c>
      <c r="G20" s="202">
        <f t="shared" si="3"/>
        <v>17784</v>
      </c>
      <c r="H20" s="202">
        <f t="shared" si="3"/>
        <v>17784</v>
      </c>
      <c r="I20" s="202">
        <f t="shared" si="3"/>
        <v>0</v>
      </c>
    </row>
    <row r="21" spans="1:59" customFormat="1">
      <c r="D21" s="91"/>
      <c r="E21" s="91"/>
    </row>
    <row r="22" spans="1:59" customFormat="1">
      <c r="D22" s="372"/>
      <c r="E22" s="375"/>
      <c r="F22" s="185"/>
      <c r="G22" s="202"/>
    </row>
    <row r="23" spans="1:59">
      <c r="I23" s="36"/>
    </row>
    <row r="24" spans="1:59">
      <c r="I24" s="36"/>
    </row>
    <row r="28" spans="1:59"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</row>
    <row r="29" spans="1:59">
      <c r="H29" s="358"/>
      <c r="AT29" s="62"/>
      <c r="AU29" s="62"/>
      <c r="AV29" s="62"/>
      <c r="AW29" s="62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32</oddFooter>
  </headerFooter>
  <ignoredErrors>
    <ignoredError sqref="A7 A12 A16 A8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>
      <selection activeCell="D4" sqref="D4"/>
    </sheetView>
  </sheetViews>
  <sheetFormatPr defaultColWidth="9" defaultRowHeight="15"/>
  <cols>
    <col min="1" max="1" width="13.42578125" style="24" customWidth="1"/>
    <col min="2" max="3" width="9" style="24"/>
    <col min="4" max="6" width="6.5703125" style="24" customWidth="1"/>
    <col min="7" max="7" width="11.5703125" style="24" customWidth="1"/>
    <col min="8" max="8" width="11.5703125" style="24" hidden="1" customWidth="1"/>
    <col min="9" max="11" width="11.5703125" style="24" customWidth="1"/>
    <col min="12" max="14" width="9" style="24"/>
    <col min="15" max="15" width="12.5703125" style="24" customWidth="1"/>
    <col min="16" max="16" width="12.5703125" style="24" hidden="1" customWidth="1"/>
    <col min="17" max="19" width="12.5703125" style="24" customWidth="1"/>
    <col min="20" max="16384" width="9" style="24"/>
  </cols>
  <sheetData>
    <row r="1" spans="1:19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>
      <c r="A2" s="40" t="s">
        <v>42</v>
      </c>
      <c r="B2" s="41" t="s">
        <v>116</v>
      </c>
      <c r="L2" s="334"/>
    </row>
    <row r="3" spans="1:19">
      <c r="B3" s="42"/>
      <c r="L3" s="53"/>
    </row>
    <row r="4" spans="1:19">
      <c r="B4" s="42" t="s">
        <v>481</v>
      </c>
      <c r="C4" s="42"/>
      <c r="D4" s="44"/>
      <c r="E4" s="42" t="s">
        <v>86</v>
      </c>
      <c r="F4" s="42" t="s">
        <v>87</v>
      </c>
      <c r="G4" s="43" t="s">
        <v>624</v>
      </c>
      <c r="H4" s="43"/>
      <c r="I4" s="45"/>
      <c r="J4" s="45"/>
      <c r="K4" s="45"/>
      <c r="L4" s="44"/>
      <c r="M4" s="42"/>
      <c r="N4" s="42"/>
      <c r="O4" s="43" t="s">
        <v>662</v>
      </c>
      <c r="P4" s="43"/>
      <c r="Q4" s="45"/>
      <c r="R4" s="45"/>
      <c r="S4" s="45"/>
    </row>
    <row r="5" spans="1:19" s="48" customFormat="1">
      <c r="B5" s="49" t="s">
        <v>480</v>
      </c>
      <c r="C5" s="49" t="s">
        <v>85</v>
      </c>
      <c r="D5" s="50" t="s">
        <v>620</v>
      </c>
      <c r="E5" s="49" t="s">
        <v>86</v>
      </c>
      <c r="F5" s="49" t="s">
        <v>87</v>
      </c>
      <c r="G5" s="49" t="s">
        <v>88</v>
      </c>
      <c r="H5" s="326" t="s">
        <v>89</v>
      </c>
      <c r="I5" s="326" t="s">
        <v>90</v>
      </c>
      <c r="J5" s="327" t="s">
        <v>91</v>
      </c>
      <c r="K5" s="49" t="s">
        <v>342</v>
      </c>
      <c r="L5" s="50" t="s">
        <v>621</v>
      </c>
      <c r="M5" s="49" t="s">
        <v>86</v>
      </c>
      <c r="N5" s="49" t="s">
        <v>87</v>
      </c>
      <c r="O5" s="49" t="s">
        <v>88</v>
      </c>
      <c r="P5" s="326" t="s">
        <v>89</v>
      </c>
      <c r="Q5" s="326" t="s">
        <v>90</v>
      </c>
      <c r="R5" s="327" t="s">
        <v>91</v>
      </c>
      <c r="S5" s="49" t="s">
        <v>342</v>
      </c>
    </row>
    <row r="6" spans="1:19">
      <c r="L6" s="53"/>
    </row>
    <row r="7" spans="1:19">
      <c r="A7" s="24" t="s">
        <v>45</v>
      </c>
      <c r="L7" s="53"/>
    </row>
    <row r="8" spans="1:19">
      <c r="A8" s="24" t="s">
        <v>259</v>
      </c>
      <c r="B8" s="189">
        <v>35977</v>
      </c>
      <c r="D8" s="42"/>
      <c r="E8" s="42" t="s">
        <v>340</v>
      </c>
      <c r="F8" s="46" t="s">
        <v>340</v>
      </c>
      <c r="G8" s="36">
        <v>15421.32</v>
      </c>
      <c r="H8" s="36">
        <v>593.13</v>
      </c>
      <c r="I8" s="36">
        <v>0</v>
      </c>
      <c r="J8" s="36">
        <v>0</v>
      </c>
      <c r="K8" s="187">
        <v>0</v>
      </c>
      <c r="L8" s="44"/>
      <c r="M8" s="42" t="s">
        <v>340</v>
      </c>
      <c r="N8" s="46" t="s">
        <v>340</v>
      </c>
      <c r="O8" s="36">
        <v>17784</v>
      </c>
      <c r="P8" s="36">
        <f>+O8/26.125</f>
        <v>680.72727272727275</v>
      </c>
      <c r="Q8" s="36"/>
      <c r="R8" s="36">
        <v>0</v>
      </c>
      <c r="S8" s="187">
        <v>0</v>
      </c>
    </row>
    <row r="9" spans="1:19">
      <c r="B9" s="59"/>
      <c r="L9" s="53"/>
    </row>
    <row r="10" spans="1:19">
      <c r="B10" s="59"/>
      <c r="L10" s="53"/>
    </row>
    <row r="11" spans="1:19">
      <c r="A11" s="40" t="s">
        <v>96</v>
      </c>
      <c r="B11" s="42"/>
      <c r="L11" s="53"/>
    </row>
    <row r="12" spans="1:19">
      <c r="A12" s="24" t="s">
        <v>45</v>
      </c>
      <c r="B12" s="42"/>
      <c r="G12" s="36">
        <f>ROUNDUP(G8,0)</f>
        <v>15422</v>
      </c>
      <c r="L12" s="53"/>
      <c r="O12" s="36">
        <f>ROUNDUP(O8,0)</f>
        <v>17784</v>
      </c>
    </row>
    <row r="13" spans="1:19">
      <c r="A13" s="24" t="s">
        <v>52</v>
      </c>
      <c r="B13" s="42"/>
      <c r="G13" s="54">
        <v>0</v>
      </c>
      <c r="L13" s="53"/>
      <c r="O13" s="36">
        <v>0</v>
      </c>
    </row>
    <row r="14" spans="1:19">
      <c r="B14" s="42"/>
      <c r="G14" s="54"/>
      <c r="L14" s="53"/>
      <c r="O14" s="54"/>
    </row>
    <row r="15" spans="1:19">
      <c r="A15" s="42" t="s">
        <v>337</v>
      </c>
      <c r="B15" s="42"/>
      <c r="G15" s="186">
        <f>SUM(G12:G13)</f>
        <v>15422</v>
      </c>
      <c r="L15" s="53"/>
      <c r="O15" s="186">
        <f>SUM(O12:O13)</f>
        <v>17784</v>
      </c>
    </row>
    <row r="16" spans="1:19">
      <c r="B16" s="59"/>
      <c r="G16" s="36"/>
      <c r="O16" s="36"/>
    </row>
    <row r="17" spans="2:15">
      <c r="B17" s="59"/>
      <c r="G17" s="36"/>
      <c r="O17" s="36"/>
    </row>
    <row r="18" spans="2:15">
      <c r="B18" s="42"/>
    </row>
    <row r="19" spans="2:15">
      <c r="B19" s="42"/>
      <c r="G19" s="60" t="s">
        <v>626</v>
      </c>
      <c r="O19" s="60" t="s">
        <v>666</v>
      </c>
    </row>
    <row r="20" spans="2:15">
      <c r="B20" s="42"/>
      <c r="G20" s="60" t="s">
        <v>625</v>
      </c>
      <c r="O20" s="60" t="s">
        <v>664</v>
      </c>
    </row>
    <row r="21" spans="2:15">
      <c r="B21" s="42"/>
      <c r="G21" s="313" t="s">
        <v>97</v>
      </c>
      <c r="H21" s="62"/>
      <c r="I21" s="62"/>
      <c r="J21" s="62"/>
      <c r="L21" s="62"/>
      <c r="M21" s="62"/>
      <c r="N21" s="62"/>
      <c r="O21" s="313" t="s">
        <v>97</v>
      </c>
    </row>
    <row r="22" spans="2:15">
      <c r="B22" s="42"/>
    </row>
    <row r="27" spans="2:15">
      <c r="B27" s="59"/>
    </row>
  </sheetData>
  <phoneticPr fontId="0" type="noConversion"/>
  <printOptions horizontalCentered="1" gridLines="1"/>
  <pageMargins left="0.45" right="0.35" top="0.75" bottom="1" header="0.3" footer="0.3"/>
  <pageSetup scale="74" orientation="landscape" r:id="rId1"/>
  <headerFooter>
    <oddFooter>&amp;L&amp;D FY25 Budget&amp;CPage 33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0"/>
  <sheetViews>
    <sheetView topLeftCell="A22" workbookViewId="0">
      <selection activeCell="H44" sqref="H44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429</v>
      </c>
    </row>
    <row r="3" spans="1:9">
      <c r="A3" s="30" t="s">
        <v>564</v>
      </c>
      <c r="D3" s="93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5" spans="1:9">
      <c r="A5" s="34" t="s">
        <v>38</v>
      </c>
      <c r="I5" s="36"/>
    </row>
    <row r="6" spans="1:9">
      <c r="A6" s="74" t="s">
        <v>1</v>
      </c>
      <c r="B6" s="24" t="s">
        <v>45</v>
      </c>
      <c r="D6" s="376">
        <v>106913</v>
      </c>
      <c r="E6" s="376">
        <v>111961</v>
      </c>
      <c r="F6" s="71">
        <v>115598</v>
      </c>
      <c r="G6" s="71">
        <f>'Pers 421'!N28</f>
        <v>119522</v>
      </c>
      <c r="H6" s="71">
        <v>119522</v>
      </c>
      <c r="I6" s="201"/>
    </row>
    <row r="7" spans="1:9">
      <c r="A7" s="74" t="s">
        <v>2</v>
      </c>
      <c r="B7" s="24" t="s">
        <v>46</v>
      </c>
      <c r="D7" s="376">
        <v>645047</v>
      </c>
      <c r="E7" s="376">
        <v>609475</v>
      </c>
      <c r="F7" s="71">
        <v>692479</v>
      </c>
      <c r="G7" s="71">
        <f>'Pers 421'!N29</f>
        <v>675178</v>
      </c>
      <c r="H7" s="71">
        <v>675178</v>
      </c>
      <c r="I7" s="201"/>
    </row>
    <row r="8" spans="1:9">
      <c r="A8" s="74" t="s">
        <v>4</v>
      </c>
      <c r="B8" s="24" t="s">
        <v>47</v>
      </c>
      <c r="D8" s="376">
        <v>67585</v>
      </c>
      <c r="E8" s="376">
        <v>69429</v>
      </c>
      <c r="F8" s="71">
        <v>79115</v>
      </c>
      <c r="G8" s="71">
        <f>'Pers 421'!N30</f>
        <v>75600</v>
      </c>
      <c r="H8" s="71">
        <v>75600</v>
      </c>
      <c r="I8" s="201"/>
    </row>
    <row r="9" spans="1:9">
      <c r="A9" s="74" t="s">
        <v>5</v>
      </c>
      <c r="B9" s="24" t="s">
        <v>48</v>
      </c>
      <c r="D9" s="376">
        <v>19431</v>
      </c>
      <c r="E9" s="376">
        <v>23249</v>
      </c>
      <c r="F9" s="71">
        <v>15000</v>
      </c>
      <c r="G9" s="71">
        <f>'Pers 421'!N31</f>
        <v>15000</v>
      </c>
      <c r="H9" s="71">
        <v>15000</v>
      </c>
      <c r="I9" s="201"/>
    </row>
    <row r="10" spans="1:9">
      <c r="A10" s="74">
        <v>5130</v>
      </c>
      <c r="B10" s="24" t="s">
        <v>393</v>
      </c>
      <c r="D10" s="376">
        <v>27000</v>
      </c>
      <c r="E10" s="376">
        <v>26000</v>
      </c>
      <c r="F10" s="71">
        <v>26000</v>
      </c>
      <c r="G10" s="71">
        <f>'Pers 421'!N32</f>
        <v>26000</v>
      </c>
      <c r="H10" s="71">
        <v>26000</v>
      </c>
      <c r="I10" s="201"/>
    </row>
    <row r="11" spans="1:9">
      <c r="A11" s="74">
        <v>5142</v>
      </c>
      <c r="B11" s="24" t="s">
        <v>91</v>
      </c>
      <c r="D11" s="376">
        <v>6650</v>
      </c>
      <c r="E11" s="376">
        <v>5250</v>
      </c>
      <c r="F11" s="71">
        <v>7350</v>
      </c>
      <c r="G11" s="71">
        <f>'Pers 421'!N33</f>
        <v>6350</v>
      </c>
      <c r="H11" s="71">
        <v>6350</v>
      </c>
      <c r="I11" s="201"/>
    </row>
    <row r="12" spans="1:9">
      <c r="A12" s="74">
        <v>5150</v>
      </c>
      <c r="B12" s="24" t="s">
        <v>50</v>
      </c>
      <c r="D12" s="376">
        <v>0</v>
      </c>
      <c r="E12" s="376">
        <v>32818</v>
      </c>
      <c r="F12" s="201">
        <v>0</v>
      </c>
      <c r="G12" s="201">
        <v>0</v>
      </c>
      <c r="H12" s="201">
        <v>0</v>
      </c>
      <c r="I12" s="201"/>
    </row>
    <row r="13" spans="1:9">
      <c r="A13" s="74" t="s">
        <v>8</v>
      </c>
      <c r="B13" s="24" t="s">
        <v>389</v>
      </c>
      <c r="D13" s="376">
        <v>12000</v>
      </c>
      <c r="E13" s="376">
        <v>11000</v>
      </c>
      <c r="F13" s="71">
        <v>13000</v>
      </c>
      <c r="G13" s="71">
        <f>'Pers 421'!N34</f>
        <v>13000</v>
      </c>
      <c r="H13" s="71">
        <v>13000</v>
      </c>
      <c r="I13" s="201"/>
    </row>
    <row r="14" spans="1:9">
      <c r="A14" s="74">
        <v>5174</v>
      </c>
      <c r="B14" s="24" t="s">
        <v>408</v>
      </c>
      <c r="D14" s="376">
        <v>4900</v>
      </c>
      <c r="E14" s="376">
        <v>4900</v>
      </c>
      <c r="F14" s="71">
        <v>8900</v>
      </c>
      <c r="G14" s="71">
        <f>'Pers 421'!N35</f>
        <v>8900</v>
      </c>
      <c r="H14" s="71">
        <v>8900</v>
      </c>
      <c r="I14" s="201"/>
    </row>
    <row r="15" spans="1:9">
      <c r="A15" s="74">
        <v>5192</v>
      </c>
      <c r="B15" s="24" t="s">
        <v>345</v>
      </c>
      <c r="D15" s="376">
        <v>3188</v>
      </c>
      <c r="E15" s="376">
        <v>3190</v>
      </c>
      <c r="F15" s="71">
        <v>3463</v>
      </c>
      <c r="G15" s="71">
        <f>'Pers 421'!N36</f>
        <v>3526</v>
      </c>
      <c r="H15" s="71">
        <v>3526</v>
      </c>
      <c r="I15" s="201"/>
    </row>
    <row r="16" spans="1:9">
      <c r="A16" s="74" t="s">
        <v>10</v>
      </c>
      <c r="B16" s="24" t="s">
        <v>388</v>
      </c>
      <c r="D16" s="376">
        <v>900</v>
      </c>
      <c r="E16" s="376">
        <v>1000</v>
      </c>
      <c r="F16" s="71">
        <v>3300</v>
      </c>
      <c r="G16" s="71">
        <f>'Pers 421'!N37</f>
        <v>3300</v>
      </c>
      <c r="H16" s="71">
        <v>3300</v>
      </c>
      <c r="I16" s="201"/>
    </row>
    <row r="17" spans="1:9">
      <c r="A17" s="74">
        <v>5199</v>
      </c>
      <c r="B17" s="24" t="s">
        <v>410</v>
      </c>
      <c r="D17" s="376">
        <v>0</v>
      </c>
      <c r="E17" s="376">
        <v>0</v>
      </c>
      <c r="F17" s="71">
        <v>0</v>
      </c>
      <c r="G17" s="71">
        <f>'Pers 421'!N38</f>
        <v>13504</v>
      </c>
      <c r="H17" s="71">
        <v>13504</v>
      </c>
      <c r="I17" s="201"/>
    </row>
    <row r="18" spans="1:9">
      <c r="A18" s="35"/>
      <c r="D18" s="377">
        <f t="shared" ref="D18:I18" si="0">SUM(D6:D17)</f>
        <v>893614</v>
      </c>
      <c r="E18" s="377">
        <f t="shared" si="0"/>
        <v>898272</v>
      </c>
      <c r="F18" s="295">
        <f t="shared" si="0"/>
        <v>964205</v>
      </c>
      <c r="G18" s="295">
        <f>SUM(G6:G17)</f>
        <v>959880</v>
      </c>
      <c r="H18" s="295">
        <f>SUM(H6:H17)</f>
        <v>959880</v>
      </c>
      <c r="I18" s="295">
        <f t="shared" si="0"/>
        <v>0</v>
      </c>
    </row>
    <row r="19" spans="1:9">
      <c r="A19" s="30" t="s">
        <v>44</v>
      </c>
      <c r="D19" s="376"/>
      <c r="E19" s="376"/>
      <c r="F19" s="201"/>
      <c r="G19" s="201"/>
      <c r="H19" s="201"/>
      <c r="I19" s="201"/>
    </row>
    <row r="20" spans="1:9">
      <c r="A20" s="74">
        <v>5212</v>
      </c>
      <c r="B20" s="24" t="s">
        <v>525</v>
      </c>
      <c r="D20" s="376">
        <v>17060</v>
      </c>
      <c r="E20" s="376">
        <v>16905</v>
      </c>
      <c r="F20" s="201">
        <v>15530</v>
      </c>
      <c r="G20" s="201">
        <v>16307</v>
      </c>
      <c r="H20" s="201">
        <v>16307</v>
      </c>
      <c r="I20" s="201"/>
    </row>
    <row r="21" spans="1:9">
      <c r="A21" s="35" t="s">
        <v>12</v>
      </c>
      <c r="B21" s="24" t="s">
        <v>527</v>
      </c>
      <c r="D21" s="376">
        <v>5335</v>
      </c>
      <c r="E21" s="376">
        <v>2426</v>
      </c>
      <c r="F21" s="201">
        <v>5150</v>
      </c>
      <c r="G21" s="201">
        <v>5305</v>
      </c>
      <c r="H21" s="201">
        <v>5305</v>
      </c>
      <c r="I21" s="201"/>
    </row>
    <row r="22" spans="1:9">
      <c r="A22" s="35" t="s">
        <v>13</v>
      </c>
      <c r="B22" s="24" t="s">
        <v>53</v>
      </c>
      <c r="D22" s="376">
        <v>2550</v>
      </c>
      <c r="E22" s="376">
        <v>7945</v>
      </c>
      <c r="F22" s="201">
        <v>25461</v>
      </c>
      <c r="G22" s="201">
        <v>26226</v>
      </c>
      <c r="H22" s="201">
        <v>26226</v>
      </c>
      <c r="I22" s="201"/>
    </row>
    <row r="23" spans="1:9">
      <c r="A23" s="35" t="s">
        <v>14</v>
      </c>
      <c r="B23" s="24" t="s">
        <v>54</v>
      </c>
      <c r="D23" s="376">
        <v>5884</v>
      </c>
      <c r="E23" s="376">
        <v>3487</v>
      </c>
      <c r="F23" s="201">
        <v>5411</v>
      </c>
      <c r="G23" s="201">
        <v>5574</v>
      </c>
      <c r="H23" s="201">
        <v>5574</v>
      </c>
      <c r="I23" s="201"/>
    </row>
    <row r="24" spans="1:9">
      <c r="A24" s="74">
        <v>5290</v>
      </c>
      <c r="B24" s="24" t="s">
        <v>55</v>
      </c>
      <c r="D24" s="376">
        <v>7066</v>
      </c>
      <c r="E24" s="376">
        <v>0</v>
      </c>
      <c r="F24" s="201">
        <v>0</v>
      </c>
      <c r="G24" s="201">
        <v>0</v>
      </c>
      <c r="H24" s="201">
        <v>0</v>
      </c>
      <c r="I24" s="201"/>
    </row>
    <row r="25" spans="1:9">
      <c r="A25" s="35"/>
      <c r="D25" s="377">
        <f t="shared" ref="D25:I25" si="1">SUM(D20:D24)</f>
        <v>37895</v>
      </c>
      <c r="E25" s="377">
        <f t="shared" si="1"/>
        <v>30763</v>
      </c>
      <c r="F25" s="295">
        <f t="shared" si="1"/>
        <v>51552</v>
      </c>
      <c r="G25" s="295">
        <f>SUM(G20:G24)</f>
        <v>53412</v>
      </c>
      <c r="H25" s="295">
        <f t="shared" si="1"/>
        <v>53412</v>
      </c>
      <c r="I25" s="295">
        <f t="shared" si="1"/>
        <v>0</v>
      </c>
    </row>
    <row r="26" spans="1:9">
      <c r="A26" s="35"/>
      <c r="D26" s="376"/>
      <c r="E26" s="376"/>
      <c r="F26" s="201"/>
      <c r="G26" s="201"/>
      <c r="H26" s="201"/>
      <c r="I26" s="201"/>
    </row>
    <row r="27" spans="1:9">
      <c r="A27" s="35" t="s">
        <v>16</v>
      </c>
      <c r="B27" s="24" t="s">
        <v>56</v>
      </c>
      <c r="D27" s="376">
        <v>5100</v>
      </c>
      <c r="E27" s="376">
        <v>9046</v>
      </c>
      <c r="F27" s="201">
        <v>7596</v>
      </c>
      <c r="G27" s="201">
        <v>7824</v>
      </c>
      <c r="H27" s="201">
        <v>7824</v>
      </c>
      <c r="I27" s="201"/>
    </row>
    <row r="28" spans="1:9">
      <c r="A28" s="74">
        <v>5302</v>
      </c>
      <c r="B28" s="24" t="s">
        <v>678</v>
      </c>
      <c r="D28" s="376">
        <v>2303</v>
      </c>
      <c r="E28" s="376">
        <v>1434</v>
      </c>
      <c r="F28" s="201">
        <v>5950</v>
      </c>
      <c r="G28" s="201">
        <v>12000</v>
      </c>
      <c r="H28" s="201">
        <v>12000</v>
      </c>
      <c r="I28" s="201"/>
    </row>
    <row r="29" spans="1:9">
      <c r="A29" s="74">
        <v>5304</v>
      </c>
      <c r="B29" s="24" t="s">
        <v>421</v>
      </c>
      <c r="D29" s="376">
        <v>4672</v>
      </c>
      <c r="E29" s="376">
        <v>6954</v>
      </c>
      <c r="F29" s="201">
        <v>20000</v>
      </c>
      <c r="G29" s="201">
        <v>20000</v>
      </c>
      <c r="H29" s="201">
        <v>20000</v>
      </c>
      <c r="I29" s="201"/>
    </row>
    <row r="30" spans="1:9">
      <c r="A30" s="35" t="s">
        <v>18</v>
      </c>
      <c r="B30" s="24" t="s">
        <v>58</v>
      </c>
      <c r="D30" s="376">
        <v>4207</v>
      </c>
      <c r="E30" s="376">
        <f>4024+558</f>
        <v>4582</v>
      </c>
      <c r="F30" s="201">
        <f>2300+3500</f>
        <v>5800</v>
      </c>
      <c r="G30" s="201">
        <v>5800</v>
      </c>
      <c r="H30" s="201">
        <v>5800</v>
      </c>
      <c r="I30" s="201"/>
    </row>
    <row r="31" spans="1:9">
      <c r="A31" s="74">
        <v>5430</v>
      </c>
      <c r="B31" s="24" t="s">
        <v>469</v>
      </c>
      <c r="D31" s="376">
        <v>3356</v>
      </c>
      <c r="E31" s="376">
        <v>2335</v>
      </c>
      <c r="F31" s="201">
        <v>2575</v>
      </c>
      <c r="G31" s="201">
        <v>2652</v>
      </c>
      <c r="H31" s="201">
        <v>2652</v>
      </c>
      <c r="I31" s="201"/>
    </row>
    <row r="32" spans="1:9">
      <c r="A32" s="35" t="s">
        <v>20</v>
      </c>
      <c r="B32" s="24" t="s">
        <v>59</v>
      </c>
      <c r="D32" s="376">
        <v>24149</v>
      </c>
      <c r="E32" s="376">
        <v>11139</v>
      </c>
      <c r="F32" s="201">
        <v>24720</v>
      </c>
      <c r="G32" s="201">
        <v>25462</v>
      </c>
      <c r="H32" s="201">
        <v>25462</v>
      </c>
      <c r="I32" s="201"/>
    </row>
    <row r="33" spans="1:59">
      <c r="A33" s="35"/>
      <c r="D33" s="377">
        <f t="shared" ref="D33:I33" si="2">SUM(D27:D32)</f>
        <v>43787</v>
      </c>
      <c r="E33" s="377">
        <f t="shared" si="2"/>
        <v>35490</v>
      </c>
      <c r="F33" s="295">
        <f t="shared" si="2"/>
        <v>66641</v>
      </c>
      <c r="G33" s="295">
        <f>SUM(G27:G32)</f>
        <v>73738</v>
      </c>
      <c r="H33" s="295">
        <f t="shared" ref="H33" si="3">SUM(H27:H32)</f>
        <v>73738</v>
      </c>
      <c r="I33" s="295">
        <f t="shared" si="2"/>
        <v>0</v>
      </c>
    </row>
    <row r="34" spans="1:59">
      <c r="A34" s="30" t="s">
        <v>43</v>
      </c>
      <c r="B34" s="24" t="s">
        <v>0</v>
      </c>
      <c r="D34" s="376"/>
      <c r="E34" s="376"/>
      <c r="F34" s="201"/>
      <c r="G34" s="201"/>
      <c r="H34" s="201"/>
      <c r="I34" s="201"/>
    </row>
    <row r="35" spans="1:59">
      <c r="A35" s="35" t="s">
        <v>21</v>
      </c>
      <c r="B35" s="24" t="s">
        <v>60</v>
      </c>
      <c r="D35" s="376">
        <v>2753</v>
      </c>
      <c r="E35" s="376">
        <v>1868</v>
      </c>
      <c r="F35" s="201">
        <v>4244</v>
      </c>
      <c r="G35" s="201">
        <v>4372</v>
      </c>
      <c r="H35" s="201">
        <v>4372</v>
      </c>
      <c r="I35" s="201"/>
    </row>
    <row r="36" spans="1:59">
      <c r="A36" s="35" t="s">
        <v>24</v>
      </c>
      <c r="B36" s="24" t="s">
        <v>63</v>
      </c>
      <c r="D36" s="376">
        <v>12071</v>
      </c>
      <c r="E36" s="376">
        <v>12715</v>
      </c>
      <c r="F36" s="201">
        <v>16550</v>
      </c>
      <c r="G36" s="201">
        <v>17047</v>
      </c>
      <c r="H36" s="201">
        <v>17047</v>
      </c>
      <c r="I36" s="201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</row>
    <row r="37" spans="1:59">
      <c r="A37" s="35" t="s">
        <v>25</v>
      </c>
      <c r="B37" s="24" t="s">
        <v>64</v>
      </c>
      <c r="D37" s="376">
        <v>31522</v>
      </c>
      <c r="E37" s="376">
        <v>38843</v>
      </c>
      <c r="F37" s="201">
        <v>53000</v>
      </c>
      <c r="G37" s="201">
        <v>53000</v>
      </c>
      <c r="H37" s="201">
        <v>53000</v>
      </c>
      <c r="I37" s="201"/>
      <c r="AT37" s="62"/>
      <c r="AU37" s="62"/>
      <c r="AV37" s="62"/>
      <c r="AW37" s="62"/>
    </row>
    <row r="38" spans="1:59">
      <c r="A38" s="74">
        <v>5482</v>
      </c>
      <c r="B38" s="24" t="s">
        <v>390</v>
      </c>
      <c r="D38" s="376">
        <v>33465</v>
      </c>
      <c r="E38" s="376">
        <v>27584</v>
      </c>
      <c r="F38" s="201">
        <v>23100</v>
      </c>
      <c r="G38" s="201">
        <v>25300</v>
      </c>
      <c r="H38" s="201">
        <v>25300</v>
      </c>
      <c r="I38" s="201"/>
      <c r="AT38" s="62"/>
      <c r="AU38" s="62"/>
      <c r="AV38" s="62"/>
      <c r="AW38" s="62"/>
    </row>
    <row r="39" spans="1:59">
      <c r="A39" s="35" t="s">
        <v>29</v>
      </c>
      <c r="B39" s="24" t="s">
        <v>405</v>
      </c>
      <c r="D39" s="376">
        <v>60162</v>
      </c>
      <c r="E39" s="376">
        <v>73815</v>
      </c>
      <c r="F39" s="201">
        <v>77111</v>
      </c>
      <c r="G39" s="201">
        <v>79424</v>
      </c>
      <c r="H39" s="201">
        <v>79424</v>
      </c>
      <c r="I39" s="201"/>
    </row>
    <row r="40" spans="1:59">
      <c r="A40" s="74">
        <v>5382</v>
      </c>
      <c r="B40" s="24" t="s">
        <v>420</v>
      </c>
      <c r="D40" s="376">
        <v>0</v>
      </c>
      <c r="E40" s="376">
        <v>0</v>
      </c>
      <c r="F40" s="201">
        <v>0</v>
      </c>
      <c r="G40" s="201">
        <v>0</v>
      </c>
      <c r="H40" s="201">
        <v>0</v>
      </c>
      <c r="I40" s="201"/>
    </row>
    <row r="41" spans="1:59">
      <c r="A41" s="35"/>
      <c r="D41" s="377">
        <f t="shared" ref="D41:I41" si="4">SUM(D35:D40)</f>
        <v>139973</v>
      </c>
      <c r="E41" s="377">
        <f t="shared" si="4"/>
        <v>154825</v>
      </c>
      <c r="F41" s="295">
        <f t="shared" si="4"/>
        <v>174005</v>
      </c>
      <c r="G41" s="295">
        <f t="shared" si="4"/>
        <v>179143</v>
      </c>
      <c r="H41" s="295">
        <f t="shared" ref="H41" si="5">SUM(H35:H40)</f>
        <v>179143</v>
      </c>
      <c r="I41" s="295">
        <f t="shared" si="4"/>
        <v>0</v>
      </c>
    </row>
    <row r="42" spans="1:59">
      <c r="A42" s="30" t="s">
        <v>39</v>
      </c>
      <c r="D42" s="376"/>
      <c r="E42" s="376"/>
      <c r="F42" s="201"/>
      <c r="G42" s="201"/>
      <c r="H42" s="201"/>
      <c r="I42" s="201"/>
    </row>
    <row r="43" spans="1:59">
      <c r="A43" s="35" t="s">
        <v>33</v>
      </c>
      <c r="B43" s="24" t="s">
        <v>71</v>
      </c>
      <c r="D43" s="376">
        <v>0</v>
      </c>
      <c r="E43" s="376">
        <v>0</v>
      </c>
      <c r="F43" s="201">
        <v>100</v>
      </c>
      <c r="G43" s="201">
        <v>100</v>
      </c>
      <c r="H43" s="201">
        <v>100</v>
      </c>
      <c r="I43" s="201"/>
    </row>
    <row r="44" spans="1:59">
      <c r="A44" s="35"/>
      <c r="D44" s="377">
        <f t="shared" ref="D44:I44" si="6">SUM(D43:D43)</f>
        <v>0</v>
      </c>
      <c r="E44" s="377">
        <f t="shared" si="6"/>
        <v>0</v>
      </c>
      <c r="F44" s="295">
        <f t="shared" si="6"/>
        <v>100</v>
      </c>
      <c r="G44" s="295">
        <f t="shared" si="6"/>
        <v>100</v>
      </c>
      <c r="H44" s="295">
        <f t="shared" ref="H44" si="7">SUM(H43:H43)</f>
        <v>100</v>
      </c>
      <c r="I44" s="295">
        <f t="shared" si="6"/>
        <v>0</v>
      </c>
    </row>
    <row r="45" spans="1:59">
      <c r="A45" s="35"/>
      <c r="D45" s="250"/>
      <c r="E45" s="250"/>
      <c r="F45" s="29"/>
      <c r="G45" s="29"/>
      <c r="H45" s="29"/>
      <c r="I45" s="29"/>
    </row>
    <row r="46" spans="1:59">
      <c r="A46" s="30" t="s">
        <v>40</v>
      </c>
      <c r="D46" s="210">
        <f t="shared" ref="D46:I46" si="8">+D44+D41+D33+D25+D18</f>
        <v>1115269</v>
      </c>
      <c r="E46" s="210">
        <f t="shared" si="8"/>
        <v>1119350</v>
      </c>
      <c r="F46" s="210">
        <f t="shared" si="8"/>
        <v>1256503</v>
      </c>
      <c r="G46" s="202">
        <f t="shared" si="8"/>
        <v>1266273</v>
      </c>
      <c r="H46" s="202">
        <f t="shared" si="8"/>
        <v>1266273</v>
      </c>
      <c r="I46" s="202">
        <f t="shared" si="8"/>
        <v>0</v>
      </c>
    </row>
    <row r="47" spans="1:59" customFormat="1">
      <c r="D47" s="91"/>
      <c r="E47" s="380"/>
    </row>
    <row r="48" spans="1:59" customFormat="1">
      <c r="D48" s="372"/>
      <c r="E48" s="453"/>
      <c r="F48" s="24"/>
      <c r="G48" s="189"/>
      <c r="H48" s="36"/>
      <c r="I48" s="24"/>
    </row>
    <row r="49" spans="4:10" customFormat="1">
      <c r="D49" s="91"/>
      <c r="E49" s="91"/>
      <c r="F49" s="24"/>
      <c r="G49" s="189"/>
      <c r="H49" s="36"/>
      <c r="I49" s="399"/>
    </row>
    <row r="50" spans="4:10">
      <c r="D50" s="381"/>
      <c r="G50" s="189"/>
      <c r="I50" s="399"/>
      <c r="J50" s="399"/>
    </row>
  </sheetData>
  <phoneticPr fontId="0" type="noConversion"/>
  <printOptions horizontalCentered="1"/>
  <pageMargins left="0.45" right="0.35" top="0.75" bottom="1" header="0.3" footer="0.3"/>
  <pageSetup scale="69" orientation="landscape" r:id="rId1"/>
  <headerFooter>
    <oddFooter>&amp;L&amp;D FY25 Budget&amp;CPage 34</oddFooter>
  </headerFooter>
  <ignoredErrors>
    <ignoredError sqref="A39 A43 A16 A25:A27 A5:A9 A21:A23 A32:A37 A30 A13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>
      <selection activeCell="R25" sqref="R25"/>
    </sheetView>
  </sheetViews>
  <sheetFormatPr defaultColWidth="9" defaultRowHeight="15"/>
  <cols>
    <col min="1" max="1" width="14.42578125" style="24" customWidth="1"/>
    <col min="2" max="2" width="11" style="24" customWidth="1"/>
    <col min="3" max="3" width="5.28515625" style="24" customWidth="1"/>
    <col min="4" max="5" width="6.5703125" style="24" customWidth="1"/>
    <col min="6" max="6" width="11.5703125" style="24" customWidth="1"/>
    <col min="7" max="7" width="11.5703125" style="24" hidden="1" customWidth="1"/>
    <col min="8" max="10" width="11.5703125" style="24" customWidth="1"/>
    <col min="11" max="11" width="6.140625" style="24" customWidth="1"/>
    <col min="12" max="13" width="9" style="24"/>
    <col min="14" max="14" width="12.5703125" style="24" customWidth="1"/>
    <col min="15" max="15" width="12.5703125" style="24" hidden="1" customWidth="1"/>
    <col min="16" max="18" width="12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422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565</v>
      </c>
      <c r="B8" s="189">
        <v>39013</v>
      </c>
      <c r="C8" s="42"/>
      <c r="D8" s="42"/>
      <c r="E8" s="42"/>
      <c r="F8" s="73">
        <v>115597.93</v>
      </c>
      <c r="G8" s="73">
        <v>4446.07</v>
      </c>
      <c r="H8" s="73"/>
      <c r="I8" s="73">
        <v>850</v>
      </c>
      <c r="J8" s="73">
        <v>2223.04</v>
      </c>
      <c r="K8" s="424"/>
      <c r="L8" s="262"/>
      <c r="M8" s="262"/>
      <c r="N8" s="209">
        <v>119522.06</v>
      </c>
      <c r="O8" s="209">
        <f>119065.87/26.125</f>
        <v>4557.5452631578946</v>
      </c>
      <c r="P8" s="209"/>
      <c r="Q8" s="209">
        <v>850</v>
      </c>
      <c r="R8" s="209">
        <v>2280.96</v>
      </c>
    </row>
    <row r="9" spans="1:18">
      <c r="B9" s="189"/>
      <c r="C9" s="42"/>
      <c r="D9" s="42"/>
      <c r="E9" s="42"/>
      <c r="F9" s="73"/>
      <c r="G9" s="73"/>
      <c r="H9" s="73"/>
      <c r="I9" s="73"/>
      <c r="J9" s="73"/>
      <c r="K9" s="424"/>
      <c r="L9" s="262"/>
      <c r="M9" s="262"/>
      <c r="N9" s="209"/>
      <c r="O9" s="209"/>
      <c r="P9" s="209"/>
      <c r="Q9" s="209"/>
      <c r="R9" s="209"/>
    </row>
    <row r="10" spans="1:18">
      <c r="A10" s="24" t="s">
        <v>391</v>
      </c>
      <c r="B10" s="189">
        <v>42239</v>
      </c>
      <c r="C10" s="42"/>
      <c r="D10" s="42" t="s">
        <v>115</v>
      </c>
      <c r="E10" s="42">
        <v>6</v>
      </c>
      <c r="F10" s="73">
        <v>64762.55</v>
      </c>
      <c r="G10" s="73">
        <v>2490.86</v>
      </c>
      <c r="H10" s="73">
        <v>31.14</v>
      </c>
      <c r="I10" s="73">
        <v>500</v>
      </c>
      <c r="J10" s="73">
        <v>0</v>
      </c>
      <c r="K10" s="424"/>
      <c r="L10" s="262" t="s">
        <v>115</v>
      </c>
      <c r="M10" s="262">
        <v>6</v>
      </c>
      <c r="N10" s="209">
        <v>65011.67</v>
      </c>
      <c r="O10" s="209">
        <v>2490.86</v>
      </c>
      <c r="P10" s="209">
        <v>31.14</v>
      </c>
      <c r="Q10" s="209">
        <v>700</v>
      </c>
      <c r="R10" s="209">
        <v>0</v>
      </c>
    </row>
    <row r="11" spans="1:18">
      <c r="A11" s="24" t="s">
        <v>574</v>
      </c>
      <c r="B11" s="189">
        <v>44137</v>
      </c>
      <c r="C11" s="42"/>
      <c r="D11" s="42" t="s">
        <v>114</v>
      </c>
      <c r="E11" s="42">
        <v>6</v>
      </c>
      <c r="F11" s="73">
        <v>57390.3</v>
      </c>
      <c r="G11" s="73">
        <v>2207.3200000000002</v>
      </c>
      <c r="H11" s="73">
        <v>27.59</v>
      </c>
      <c r="I11" s="73">
        <v>0</v>
      </c>
      <c r="J11" s="73">
        <v>0</v>
      </c>
      <c r="K11" s="424"/>
      <c r="L11" s="262" t="s">
        <v>114</v>
      </c>
      <c r="M11" s="262">
        <v>6</v>
      </c>
      <c r="N11" s="209">
        <v>57611.02</v>
      </c>
      <c r="O11" s="209">
        <v>2207.3200000000002</v>
      </c>
      <c r="P11" s="209">
        <v>27.59</v>
      </c>
      <c r="Q11" s="209">
        <v>0</v>
      </c>
      <c r="R11" s="209">
        <v>0</v>
      </c>
    </row>
    <row r="12" spans="1:18">
      <c r="A12" s="24" t="s">
        <v>409</v>
      </c>
      <c r="B12" s="189">
        <v>42597</v>
      </c>
      <c r="C12" s="42"/>
      <c r="D12" s="42" t="s">
        <v>114</v>
      </c>
      <c r="E12" s="42">
        <v>6</v>
      </c>
      <c r="F12" s="73">
        <v>57390.3</v>
      </c>
      <c r="G12" s="73">
        <v>2207.3200000000002</v>
      </c>
      <c r="H12" s="73">
        <v>27.59</v>
      </c>
      <c r="I12" s="73">
        <v>500</v>
      </c>
      <c r="J12" s="73">
        <v>0</v>
      </c>
      <c r="K12" s="424"/>
      <c r="L12" s="262" t="s">
        <v>114</v>
      </c>
      <c r="M12" s="262">
        <v>6</v>
      </c>
      <c r="N12" s="209">
        <v>57611.02</v>
      </c>
      <c r="O12" s="209">
        <v>2207.3200000000002</v>
      </c>
      <c r="P12" s="209">
        <v>27.59</v>
      </c>
      <c r="Q12" s="209">
        <v>500</v>
      </c>
      <c r="R12" s="209">
        <v>0</v>
      </c>
    </row>
    <row r="13" spans="1:18">
      <c r="A13" s="24" t="s">
        <v>364</v>
      </c>
      <c r="B13" s="189">
        <v>35125</v>
      </c>
      <c r="C13" s="42"/>
      <c r="D13" s="42" t="s">
        <v>114</v>
      </c>
      <c r="E13" s="42">
        <v>6</v>
      </c>
      <c r="F13" s="73">
        <v>57390.3</v>
      </c>
      <c r="G13" s="73">
        <v>2207.3200000000002</v>
      </c>
      <c r="H13" s="73">
        <v>27.59</v>
      </c>
      <c r="I13" s="73">
        <v>2050</v>
      </c>
      <c r="J13" s="73">
        <v>0</v>
      </c>
      <c r="K13" s="424"/>
      <c r="L13" s="262" t="s">
        <v>114</v>
      </c>
      <c r="M13" s="262">
        <v>6</v>
      </c>
      <c r="N13" s="209">
        <v>57611.02</v>
      </c>
      <c r="O13" s="209">
        <v>2207.3200000000002</v>
      </c>
      <c r="P13" s="209">
        <v>27.59</v>
      </c>
      <c r="Q13" s="209">
        <v>2050</v>
      </c>
      <c r="R13" s="209">
        <v>0</v>
      </c>
    </row>
    <row r="14" spans="1:18">
      <c r="A14" s="24" t="s">
        <v>630</v>
      </c>
      <c r="B14" s="189">
        <v>42821</v>
      </c>
      <c r="C14" s="42"/>
      <c r="D14" s="57"/>
      <c r="E14" s="42">
        <v>6</v>
      </c>
      <c r="F14" s="73">
        <v>57390.3</v>
      </c>
      <c r="G14" s="73">
        <v>2207.3200000000002</v>
      </c>
      <c r="H14" s="73">
        <v>27.59</v>
      </c>
      <c r="I14" s="73">
        <v>500</v>
      </c>
      <c r="J14" s="73">
        <v>0</v>
      </c>
      <c r="K14" s="424"/>
      <c r="L14" s="281" t="s">
        <v>114</v>
      </c>
      <c r="M14" s="262">
        <v>6</v>
      </c>
      <c r="N14" s="209">
        <v>57611.02</v>
      </c>
      <c r="O14" s="209">
        <v>2207.3200000000002</v>
      </c>
      <c r="P14" s="209">
        <v>27.59</v>
      </c>
      <c r="Q14" s="209">
        <v>500</v>
      </c>
      <c r="R14" s="209">
        <v>0</v>
      </c>
    </row>
    <row r="15" spans="1:18">
      <c r="A15" s="62" t="s">
        <v>593</v>
      </c>
      <c r="B15" s="194"/>
      <c r="C15" s="42"/>
      <c r="D15" s="57" t="s">
        <v>114</v>
      </c>
      <c r="E15" s="42">
        <v>6</v>
      </c>
      <c r="F15" s="73">
        <v>57390.3</v>
      </c>
      <c r="G15" s="73">
        <v>2207.3200000000002</v>
      </c>
      <c r="H15" s="73">
        <v>27.59</v>
      </c>
      <c r="I15" s="73">
        <v>700</v>
      </c>
      <c r="J15" s="73">
        <v>0</v>
      </c>
      <c r="K15" s="424"/>
      <c r="L15" s="281" t="s">
        <v>114</v>
      </c>
      <c r="M15" s="262">
        <v>2</v>
      </c>
      <c r="N15" s="209">
        <v>50077.11</v>
      </c>
      <c r="O15" s="209">
        <v>1918.66</v>
      </c>
      <c r="P15" s="209">
        <v>23.98</v>
      </c>
      <c r="Q15" s="209">
        <v>0</v>
      </c>
      <c r="R15" s="209">
        <v>0</v>
      </c>
    </row>
    <row r="16" spans="1:18">
      <c r="A16" s="62" t="s">
        <v>604</v>
      </c>
      <c r="B16" s="194"/>
      <c r="C16" s="42"/>
      <c r="D16" s="57"/>
      <c r="E16" s="42"/>
      <c r="F16" s="73">
        <v>4000</v>
      </c>
      <c r="G16" s="73"/>
      <c r="H16" s="73"/>
      <c r="I16" s="73"/>
      <c r="J16" s="73"/>
      <c r="K16" s="424"/>
      <c r="L16" s="281"/>
      <c r="M16" s="262"/>
      <c r="N16" s="209">
        <v>4000</v>
      </c>
      <c r="O16" s="209"/>
      <c r="P16" s="209"/>
      <c r="Q16" s="209"/>
      <c r="R16" s="209"/>
    </row>
    <row r="17" spans="1:18" hidden="1">
      <c r="A17" s="62" t="e">
        <f>CONCATENATE(#REF!,", ",#REF!)</f>
        <v>#REF!</v>
      </c>
      <c r="B17" s="194">
        <v>33973</v>
      </c>
      <c r="C17" s="42"/>
      <c r="D17" s="57"/>
      <c r="E17" s="42"/>
      <c r="F17" s="73"/>
      <c r="G17" s="73"/>
      <c r="H17" s="73"/>
      <c r="I17" s="73"/>
      <c r="J17" s="73"/>
      <c r="K17" s="424"/>
      <c r="L17" s="281"/>
      <c r="M17" s="262"/>
      <c r="N17" s="209"/>
      <c r="O17" s="209"/>
      <c r="P17" s="209"/>
      <c r="Q17" s="209"/>
      <c r="R17" s="209"/>
    </row>
    <row r="18" spans="1:18">
      <c r="A18" s="62" t="s">
        <v>595</v>
      </c>
      <c r="B18" s="194">
        <v>44481</v>
      </c>
      <c r="C18" s="42"/>
      <c r="D18" s="57" t="s">
        <v>114</v>
      </c>
      <c r="E18" s="42">
        <v>3</v>
      </c>
      <c r="F18" s="73">
        <v>51982.21</v>
      </c>
      <c r="G18" s="73">
        <v>1999.32</v>
      </c>
      <c r="H18" s="73">
        <v>24.99</v>
      </c>
      <c r="I18" s="73">
        <v>0</v>
      </c>
      <c r="J18" s="73">
        <v>0</v>
      </c>
      <c r="K18" s="424"/>
      <c r="L18" s="281" t="s">
        <v>114</v>
      </c>
      <c r="M18" s="262">
        <v>4</v>
      </c>
      <c r="N18" s="209">
        <v>54198.55</v>
      </c>
      <c r="O18" s="209">
        <v>2076.58</v>
      </c>
      <c r="P18" s="209">
        <v>25.96</v>
      </c>
      <c r="Q18" s="209">
        <v>0</v>
      </c>
      <c r="R18" s="209">
        <v>0</v>
      </c>
    </row>
    <row r="19" spans="1:18">
      <c r="A19" s="62" t="s">
        <v>365</v>
      </c>
      <c r="B19" s="194">
        <v>38769</v>
      </c>
      <c r="C19" s="42"/>
      <c r="D19" s="57" t="s">
        <v>115</v>
      </c>
      <c r="E19" s="42">
        <v>6</v>
      </c>
      <c r="F19" s="73">
        <v>64762.55</v>
      </c>
      <c r="G19" s="73">
        <v>2490.86</v>
      </c>
      <c r="H19" s="73">
        <v>31.14</v>
      </c>
      <c r="I19" s="73">
        <v>1050</v>
      </c>
      <c r="J19" s="73">
        <v>1239.47</v>
      </c>
      <c r="K19" s="424"/>
      <c r="L19" s="281" t="s">
        <v>115</v>
      </c>
      <c r="M19" s="262">
        <v>6</v>
      </c>
      <c r="N19" s="209">
        <v>65011.67</v>
      </c>
      <c r="O19" s="209">
        <v>2490.86</v>
      </c>
      <c r="P19" s="209">
        <v>31.14</v>
      </c>
      <c r="Q19" s="209">
        <v>1050</v>
      </c>
      <c r="R19" s="209">
        <v>1245.43</v>
      </c>
    </row>
    <row r="20" spans="1:18">
      <c r="A20" s="62" t="s">
        <v>605</v>
      </c>
      <c r="B20" s="194"/>
      <c r="C20" s="42"/>
      <c r="D20" s="57"/>
      <c r="E20" s="42"/>
      <c r="F20" s="73">
        <v>3900</v>
      </c>
      <c r="G20" s="73"/>
      <c r="H20" s="73"/>
      <c r="I20" s="73"/>
      <c r="J20" s="73"/>
      <c r="K20" s="424"/>
      <c r="L20" s="281"/>
      <c r="M20" s="262"/>
      <c r="N20" s="209">
        <v>3900</v>
      </c>
      <c r="O20" s="209"/>
      <c r="P20" s="209"/>
      <c r="Q20" s="209"/>
      <c r="R20" s="209"/>
    </row>
    <row r="21" spans="1:18">
      <c r="A21" s="62" t="s">
        <v>594</v>
      </c>
      <c r="B21" s="194">
        <v>43843</v>
      </c>
      <c r="C21" s="42"/>
      <c r="D21" s="57" t="s">
        <v>114</v>
      </c>
      <c r="E21" s="42">
        <v>4</v>
      </c>
      <c r="F21" s="73">
        <v>53990.87</v>
      </c>
      <c r="G21" s="73">
        <v>2076.58</v>
      </c>
      <c r="H21" s="73">
        <v>25.96</v>
      </c>
      <c r="I21" s="73">
        <v>0</v>
      </c>
      <c r="J21" s="73">
        <v>0</v>
      </c>
      <c r="K21" s="424"/>
      <c r="L21" s="281" t="s">
        <v>114</v>
      </c>
      <c r="M21" s="262">
        <v>5</v>
      </c>
      <c r="N21" s="209">
        <v>56480.800000000003</v>
      </c>
      <c r="O21" s="209">
        <v>2164.02</v>
      </c>
      <c r="P21" s="209">
        <v>27.05</v>
      </c>
      <c r="Q21" s="209">
        <v>0</v>
      </c>
      <c r="R21" s="209">
        <v>0</v>
      </c>
    </row>
    <row r="22" spans="1:18">
      <c r="A22" s="62" t="s">
        <v>593</v>
      </c>
      <c r="B22" s="194"/>
      <c r="C22" s="42"/>
      <c r="D22" s="57" t="s">
        <v>115</v>
      </c>
      <c r="E22" s="42">
        <v>2</v>
      </c>
      <c r="F22" s="73">
        <v>56374.76</v>
      </c>
      <c r="G22" s="73">
        <v>2168.2600000000002</v>
      </c>
      <c r="H22" s="73">
        <v>27.1</v>
      </c>
      <c r="I22" s="73">
        <v>0</v>
      </c>
      <c r="J22" s="73">
        <v>0</v>
      </c>
      <c r="K22" s="424"/>
      <c r="L22" s="281" t="s">
        <v>114</v>
      </c>
      <c r="M22" s="262">
        <v>1</v>
      </c>
      <c r="N22" s="209">
        <v>46265.97</v>
      </c>
      <c r="O22" s="209">
        <v>1772.64</v>
      </c>
      <c r="P22" s="209">
        <v>22.16</v>
      </c>
      <c r="Q22" s="209">
        <v>0</v>
      </c>
      <c r="R22" s="209">
        <v>0</v>
      </c>
    </row>
    <row r="23" spans="1:18">
      <c r="A23" s="62" t="s">
        <v>366</v>
      </c>
      <c r="B23" s="194">
        <v>41645</v>
      </c>
      <c r="C23" s="42"/>
      <c r="D23" s="57" t="s">
        <v>114</v>
      </c>
      <c r="E23" s="42">
        <v>6</v>
      </c>
      <c r="F23" s="73">
        <v>57390.3</v>
      </c>
      <c r="G23" s="73">
        <v>2207.3200000000002</v>
      </c>
      <c r="H23" s="73">
        <v>27.59</v>
      </c>
      <c r="I23" s="73">
        <v>700</v>
      </c>
      <c r="J23" s="73">
        <v>0</v>
      </c>
      <c r="K23" s="424"/>
      <c r="L23" s="281" t="s">
        <v>114</v>
      </c>
      <c r="M23" s="262">
        <v>6</v>
      </c>
      <c r="N23" s="209">
        <v>57611.02</v>
      </c>
      <c r="O23" s="209">
        <v>2207.3200000000002</v>
      </c>
      <c r="P23" s="209">
        <v>27.59</v>
      </c>
      <c r="Q23" s="209">
        <v>700</v>
      </c>
      <c r="R23" s="209">
        <v>0</v>
      </c>
    </row>
    <row r="24" spans="1:18">
      <c r="A24" s="62" t="s">
        <v>593</v>
      </c>
      <c r="B24" s="194"/>
      <c r="C24" s="42"/>
      <c r="D24" s="57" t="s">
        <v>114</v>
      </c>
      <c r="E24" s="42">
        <v>5</v>
      </c>
      <c r="F24" s="73">
        <v>56264.4</v>
      </c>
      <c r="G24" s="73">
        <v>2164.02</v>
      </c>
      <c r="H24" s="73">
        <v>27.05</v>
      </c>
      <c r="I24" s="73">
        <v>500</v>
      </c>
      <c r="J24" s="73">
        <v>0</v>
      </c>
      <c r="K24" s="424"/>
      <c r="L24" s="281" t="s">
        <v>114</v>
      </c>
      <c r="M24" s="262">
        <v>2</v>
      </c>
      <c r="N24" s="209">
        <v>50077.11</v>
      </c>
      <c r="O24" s="209">
        <v>1918.66</v>
      </c>
      <c r="P24" s="209">
        <v>23.98</v>
      </c>
      <c r="Q24" s="209">
        <v>0</v>
      </c>
      <c r="R24" s="209">
        <v>0</v>
      </c>
    </row>
    <row r="25" spans="1:18">
      <c r="B25" s="189"/>
      <c r="C25" s="42"/>
      <c r="D25" s="57"/>
      <c r="E25" s="42"/>
      <c r="F25" s="73"/>
      <c r="G25" s="73"/>
      <c r="H25" s="73"/>
      <c r="I25" s="73"/>
      <c r="J25" s="73"/>
      <c r="K25" s="424"/>
      <c r="L25" s="262"/>
      <c r="M25" s="262"/>
      <c r="N25" s="209"/>
      <c r="O25" s="209"/>
      <c r="P25" s="209"/>
      <c r="Q25" s="209"/>
      <c r="R25" s="209"/>
    </row>
    <row r="26" spans="1:18">
      <c r="A26" s="62"/>
      <c r="B26" s="194"/>
      <c r="C26" s="42"/>
      <c r="D26" s="57"/>
      <c r="E26" s="42"/>
      <c r="F26" s="73"/>
      <c r="G26" s="73"/>
      <c r="H26" s="73"/>
      <c r="I26" s="73"/>
      <c r="J26" s="73"/>
      <c r="K26" s="44"/>
      <c r="L26" s="42"/>
      <c r="M26" s="42"/>
      <c r="N26" s="209"/>
      <c r="O26" s="209"/>
      <c r="P26" s="209"/>
      <c r="Q26" s="73"/>
      <c r="R26" s="73"/>
    </row>
    <row r="27" spans="1:18">
      <c r="A27" s="40" t="s">
        <v>96</v>
      </c>
      <c r="B27" s="42"/>
      <c r="C27" s="42"/>
      <c r="K27" s="44"/>
      <c r="N27" s="69"/>
      <c r="O27" s="69"/>
      <c r="P27" s="69"/>
    </row>
    <row r="28" spans="1:18">
      <c r="A28" s="24" t="s">
        <v>45</v>
      </c>
      <c r="B28" s="42"/>
      <c r="F28" s="209">
        <f>ROUND(F8,0)</f>
        <v>115598</v>
      </c>
      <c r="G28" s="69"/>
      <c r="H28" s="69"/>
      <c r="I28" s="69"/>
      <c r="J28" s="69"/>
      <c r="K28" s="423"/>
      <c r="L28" s="69"/>
      <c r="M28" s="69"/>
      <c r="N28" s="209">
        <f>ROUND(N8,0)</f>
        <v>119522</v>
      </c>
      <c r="O28" s="69"/>
      <c r="P28" s="69"/>
    </row>
    <row r="29" spans="1:18">
      <c r="A29" s="24" t="s">
        <v>46</v>
      </c>
      <c r="B29" s="42"/>
      <c r="F29" s="209">
        <f>ROUND(SUM(F10:F26),0)-F16-F20</f>
        <v>692479</v>
      </c>
      <c r="G29" s="69"/>
      <c r="H29" s="69"/>
      <c r="I29" s="69"/>
      <c r="J29" s="69"/>
      <c r="K29" s="423"/>
      <c r="L29" s="69"/>
      <c r="M29" s="69"/>
      <c r="N29" s="209">
        <f>ROUND(SUM(N10:N26),0)-N16-N20</f>
        <v>675178</v>
      </c>
      <c r="O29" s="69"/>
      <c r="P29" s="69"/>
    </row>
    <row r="30" spans="1:18">
      <c r="A30" s="24" t="s">
        <v>47</v>
      </c>
      <c r="B30" s="42"/>
      <c r="F30" s="73">
        <v>79115</v>
      </c>
      <c r="K30" s="53"/>
      <c r="N30" s="209">
        <v>75600</v>
      </c>
      <c r="O30" s="69"/>
      <c r="P30" s="69"/>
    </row>
    <row r="31" spans="1:18">
      <c r="A31" s="24" t="s">
        <v>48</v>
      </c>
      <c r="B31" s="42"/>
      <c r="F31" s="204">
        <v>15000</v>
      </c>
      <c r="K31" s="53"/>
      <c r="N31" s="400">
        <v>15000</v>
      </c>
      <c r="O31" s="69"/>
      <c r="P31" s="69"/>
    </row>
    <row r="32" spans="1:18">
      <c r="A32" s="24" t="s">
        <v>393</v>
      </c>
      <c r="B32" s="42"/>
      <c r="F32" s="204">
        <v>26000</v>
      </c>
      <c r="K32" s="53"/>
      <c r="N32" s="400">
        <v>26000</v>
      </c>
      <c r="O32" s="69"/>
      <c r="P32" s="69"/>
    </row>
    <row r="33" spans="1:17">
      <c r="A33" s="24" t="s">
        <v>91</v>
      </c>
      <c r="B33" s="42"/>
      <c r="F33" s="73">
        <f>SUM(I7:I25)</f>
        <v>7350</v>
      </c>
      <c r="K33" s="53"/>
      <c r="N33" s="209">
        <f>SUM(Q8:Q24)</f>
        <v>6350</v>
      </c>
      <c r="O33" s="69"/>
      <c r="P33" s="69"/>
    </row>
    <row r="34" spans="1:17">
      <c r="A34" s="24" t="s">
        <v>389</v>
      </c>
      <c r="B34" s="42"/>
      <c r="F34" s="209">
        <v>13000</v>
      </c>
      <c r="I34" s="201"/>
      <c r="K34" s="53"/>
      <c r="N34" s="209">
        <v>13000</v>
      </c>
      <c r="O34" s="69"/>
      <c r="P34" s="69"/>
      <c r="Q34" s="201"/>
    </row>
    <row r="35" spans="1:17">
      <c r="A35" s="24" t="s">
        <v>408</v>
      </c>
      <c r="B35" s="42"/>
      <c r="F35" s="209">
        <f>4000+3900+500+500</f>
        <v>8900</v>
      </c>
      <c r="I35" s="201"/>
      <c r="K35" s="53"/>
      <c r="N35" s="209">
        <f>+N16+N20+1000</f>
        <v>8900</v>
      </c>
      <c r="O35" s="69"/>
      <c r="P35" s="69"/>
      <c r="Q35" s="201"/>
    </row>
    <row r="36" spans="1:17">
      <c r="A36" s="24" t="s">
        <v>345</v>
      </c>
      <c r="B36" s="42"/>
      <c r="F36" s="209">
        <v>3463</v>
      </c>
      <c r="I36" s="201"/>
      <c r="K36" s="53"/>
      <c r="N36" s="209">
        <v>3526</v>
      </c>
      <c r="O36" s="69"/>
      <c r="P36" s="69"/>
      <c r="Q36" s="201"/>
    </row>
    <row r="37" spans="1:17">
      <c r="A37" s="24" t="s">
        <v>370</v>
      </c>
      <c r="B37" s="42"/>
      <c r="F37" s="73">
        <v>3300</v>
      </c>
      <c r="I37" s="201"/>
      <c r="K37" s="53"/>
      <c r="N37" s="209">
        <v>3300</v>
      </c>
      <c r="O37" s="69"/>
      <c r="P37" s="69"/>
      <c r="Q37" s="201"/>
    </row>
    <row r="38" spans="1:17">
      <c r="A38" s="24" t="s">
        <v>271</v>
      </c>
      <c r="B38" s="42"/>
      <c r="F38" s="73">
        <v>0</v>
      </c>
      <c r="I38" s="201"/>
      <c r="K38" s="53"/>
      <c r="N38" s="209">
        <f>ROUND(N29*0.02,0)</f>
        <v>13504</v>
      </c>
      <c r="Q38" s="201"/>
    </row>
    <row r="39" spans="1:17">
      <c r="B39" s="42"/>
      <c r="F39" s="73"/>
      <c r="K39" s="53"/>
      <c r="N39" s="73"/>
    </row>
    <row r="40" spans="1:17">
      <c r="A40" s="42" t="s">
        <v>337</v>
      </c>
      <c r="B40" s="42"/>
      <c r="F40" s="193">
        <f>SUM(F28:F38)</f>
        <v>964205</v>
      </c>
      <c r="K40" s="53"/>
      <c r="N40" s="193">
        <f>SUM(N28:N38)</f>
        <v>959880</v>
      </c>
    </row>
    <row r="41" spans="1:17">
      <c r="N41" s="193"/>
    </row>
    <row r="42" spans="1:17">
      <c r="B42" s="42"/>
    </row>
    <row r="43" spans="1:17">
      <c r="B43" s="42"/>
      <c r="F43" s="60" t="s">
        <v>626</v>
      </c>
      <c r="N43" s="60" t="s">
        <v>666</v>
      </c>
    </row>
    <row r="44" spans="1:17">
      <c r="B44" s="42"/>
      <c r="F44" s="60" t="s">
        <v>625</v>
      </c>
      <c r="N44" s="60" t="s">
        <v>664</v>
      </c>
    </row>
    <row r="45" spans="1:17">
      <c r="B45" s="42"/>
      <c r="F45" s="313" t="s">
        <v>97</v>
      </c>
      <c r="G45" s="62"/>
      <c r="H45" s="62"/>
      <c r="I45" s="62"/>
      <c r="K45" s="62"/>
      <c r="L45" s="62"/>
      <c r="M45" s="62"/>
      <c r="N45" s="313" t="s">
        <v>97</v>
      </c>
    </row>
    <row r="46" spans="1:17">
      <c r="B46" s="42"/>
    </row>
  </sheetData>
  <phoneticPr fontId="0" type="noConversion"/>
  <printOptions horizontalCentered="1" gridLines="1"/>
  <pageMargins left="0.45" right="0.35" top="0.75" bottom="1" header="0.3" footer="0.3"/>
  <pageSetup scale="75" orientation="landscape" r:id="rId1"/>
  <headerFooter>
    <oddFooter>&amp;L&amp;D FY25 Budget&amp;CPage 35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8"/>
  <sheetViews>
    <sheetView workbookViewId="0">
      <selection activeCell="H24" sqref="H24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430</v>
      </c>
    </row>
    <row r="3" spans="1:9">
      <c r="A3" s="30" t="s">
        <v>564</v>
      </c>
      <c r="D3" s="93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9">
      <c r="A6" s="34" t="s">
        <v>38</v>
      </c>
    </row>
    <row r="7" spans="1:9">
      <c r="A7" s="35" t="s">
        <v>4</v>
      </c>
      <c r="B7" s="24" t="s">
        <v>47</v>
      </c>
      <c r="D7" s="68">
        <v>7911</v>
      </c>
      <c r="E7" s="68">
        <v>20674</v>
      </c>
      <c r="F7" s="67">
        <v>0</v>
      </c>
      <c r="G7" s="67">
        <v>0</v>
      </c>
      <c r="H7" s="67">
        <v>0</v>
      </c>
      <c r="I7" s="67"/>
    </row>
    <row r="8" spans="1:9">
      <c r="A8" s="35" t="s">
        <v>5</v>
      </c>
      <c r="B8" s="24" t="s">
        <v>48</v>
      </c>
      <c r="D8" s="68">
        <v>41587</v>
      </c>
      <c r="E8" s="68">
        <v>11829</v>
      </c>
      <c r="F8" s="67">
        <v>20000</v>
      </c>
      <c r="G8" s="67">
        <v>20000</v>
      </c>
      <c r="H8" s="67">
        <v>20000</v>
      </c>
      <c r="I8" s="67"/>
    </row>
    <row r="9" spans="1:9">
      <c r="A9" s="35" t="s">
        <v>9</v>
      </c>
      <c r="B9" s="24" t="s">
        <v>51</v>
      </c>
      <c r="D9" s="68">
        <v>0</v>
      </c>
      <c r="E9" s="68">
        <v>0</v>
      </c>
      <c r="F9" s="67">
        <v>0</v>
      </c>
      <c r="G9" s="67">
        <v>0</v>
      </c>
      <c r="H9" s="67">
        <v>0</v>
      </c>
      <c r="I9" s="67"/>
    </row>
    <row r="10" spans="1:9">
      <c r="A10" s="35"/>
      <c r="D10" s="94">
        <f t="shared" ref="D10:I10" si="0">SUM(D7:D9)</f>
        <v>49498</v>
      </c>
      <c r="E10" s="94">
        <f t="shared" si="0"/>
        <v>32503</v>
      </c>
      <c r="F10" s="79">
        <f t="shared" si="0"/>
        <v>20000</v>
      </c>
      <c r="G10" s="79">
        <f>SUM(G7:G9)</f>
        <v>20000</v>
      </c>
      <c r="H10" s="79">
        <f>SUM(H7:H9)</f>
        <v>20000</v>
      </c>
      <c r="I10" s="79">
        <f t="shared" si="0"/>
        <v>0</v>
      </c>
    </row>
    <row r="11" spans="1:9">
      <c r="A11" s="35"/>
      <c r="D11" s="250"/>
      <c r="E11" s="250"/>
      <c r="F11" s="29"/>
      <c r="G11" s="29"/>
      <c r="H11" s="29"/>
      <c r="I11" s="29"/>
    </row>
    <row r="12" spans="1:9">
      <c r="A12" s="30" t="s">
        <v>44</v>
      </c>
      <c r="H12" s="24"/>
    </row>
    <row r="13" spans="1:9">
      <c r="A13" s="35" t="s">
        <v>13</v>
      </c>
      <c r="B13" s="24" t="s">
        <v>53</v>
      </c>
      <c r="D13" s="68">
        <v>0</v>
      </c>
      <c r="E13" s="68">
        <v>0</v>
      </c>
      <c r="F13" s="67">
        <v>0</v>
      </c>
      <c r="G13" s="67">
        <v>0</v>
      </c>
      <c r="H13" s="67">
        <v>0</v>
      </c>
      <c r="I13" s="67"/>
    </row>
    <row r="14" spans="1:9">
      <c r="A14" s="35" t="s">
        <v>15</v>
      </c>
      <c r="B14" s="24" t="s">
        <v>470</v>
      </c>
      <c r="D14" s="68">
        <v>15885</v>
      </c>
      <c r="E14" s="68">
        <v>0</v>
      </c>
      <c r="F14" s="67">
        <v>28080</v>
      </c>
      <c r="G14" s="67">
        <v>28080</v>
      </c>
      <c r="H14" s="67">
        <v>28080</v>
      </c>
      <c r="I14" s="67"/>
    </row>
    <row r="15" spans="1:9">
      <c r="A15" s="35"/>
      <c r="D15" s="94">
        <f>SUM(D13:D14)</f>
        <v>15885</v>
      </c>
      <c r="E15" s="94">
        <f>SUM(E13:E14)</f>
        <v>0</v>
      </c>
      <c r="F15" s="79">
        <f>SUM(F14)</f>
        <v>28080</v>
      </c>
      <c r="G15" s="79">
        <f>SUM(G14)</f>
        <v>28080</v>
      </c>
      <c r="H15" s="79">
        <f>SUM(H14)</f>
        <v>28080</v>
      </c>
      <c r="I15" s="79">
        <f>SUM(I14)</f>
        <v>0</v>
      </c>
    </row>
    <row r="16" spans="1:9">
      <c r="A16" s="35"/>
      <c r="D16" s="68"/>
      <c r="E16" s="68"/>
      <c r="F16" s="67"/>
      <c r="G16" s="67"/>
      <c r="H16" s="67"/>
      <c r="I16" s="67"/>
    </row>
    <row r="17" spans="1:59">
      <c r="A17" s="30" t="s">
        <v>43</v>
      </c>
      <c r="B17" s="24" t="s">
        <v>0</v>
      </c>
      <c r="D17" s="68" t="s">
        <v>0</v>
      </c>
      <c r="E17" s="68"/>
      <c r="F17" s="67" t="s">
        <v>0</v>
      </c>
      <c r="G17" s="67" t="s">
        <v>0</v>
      </c>
      <c r="H17" s="67"/>
      <c r="I17" s="67" t="s">
        <v>0</v>
      </c>
    </row>
    <row r="18" spans="1:59">
      <c r="A18" s="35" t="s">
        <v>25</v>
      </c>
      <c r="B18" s="24" t="s">
        <v>64</v>
      </c>
      <c r="D18" s="68">
        <v>30576</v>
      </c>
      <c r="E18" s="68">
        <v>35231</v>
      </c>
      <c r="F18" s="67">
        <v>5750</v>
      </c>
      <c r="G18" s="67">
        <v>5750</v>
      </c>
      <c r="H18" s="67">
        <v>5750</v>
      </c>
      <c r="I18" s="67"/>
    </row>
    <row r="19" spans="1:59">
      <c r="A19" s="74">
        <v>5482</v>
      </c>
      <c r="B19" s="24" t="s">
        <v>398</v>
      </c>
      <c r="D19" s="68">
        <v>12286</v>
      </c>
      <c r="E19" s="68">
        <v>6072</v>
      </c>
      <c r="F19" s="67">
        <v>0</v>
      </c>
      <c r="G19" s="67">
        <v>0</v>
      </c>
      <c r="H19" s="67">
        <v>0</v>
      </c>
      <c r="I19" s="67"/>
    </row>
    <row r="20" spans="1:59">
      <c r="A20" s="35" t="s">
        <v>29</v>
      </c>
      <c r="B20" s="24" t="s">
        <v>405</v>
      </c>
      <c r="D20" s="68">
        <v>148528</v>
      </c>
      <c r="E20" s="68">
        <v>49432</v>
      </c>
      <c r="F20" s="67">
        <v>21000</v>
      </c>
      <c r="G20" s="67">
        <v>21000</v>
      </c>
      <c r="H20" s="67">
        <v>21000</v>
      </c>
      <c r="I20" s="67"/>
    </row>
    <row r="21" spans="1:59">
      <c r="A21" s="35" t="s">
        <v>30</v>
      </c>
      <c r="B21" s="24" t="s">
        <v>69</v>
      </c>
      <c r="D21" s="68">
        <v>0</v>
      </c>
      <c r="E21" s="68"/>
      <c r="F21" s="67">
        <v>0</v>
      </c>
      <c r="G21" s="67">
        <v>0</v>
      </c>
      <c r="H21" s="67">
        <v>0</v>
      </c>
      <c r="I21" s="67"/>
    </row>
    <row r="22" spans="1:59">
      <c r="A22" s="35"/>
      <c r="D22" s="94">
        <f t="shared" ref="D22:I22" si="1">SUM(D18:D21)</f>
        <v>191390</v>
      </c>
      <c r="E22" s="94">
        <f t="shared" si="1"/>
        <v>90735</v>
      </c>
      <c r="F22" s="79">
        <f t="shared" si="1"/>
        <v>26750</v>
      </c>
      <c r="G22" s="79">
        <f>SUM(G18:G21)</f>
        <v>26750</v>
      </c>
      <c r="H22" s="79">
        <f>SUM(H18:H21)</f>
        <v>26750</v>
      </c>
      <c r="I22" s="79">
        <f t="shared" si="1"/>
        <v>0</v>
      </c>
    </row>
    <row r="23" spans="1:59">
      <c r="A23" s="35"/>
      <c r="D23" s="68"/>
      <c r="E23" s="68"/>
      <c r="F23" s="67"/>
      <c r="G23" s="67"/>
      <c r="H23" s="67"/>
      <c r="I23" s="67"/>
    </row>
    <row r="24" spans="1:59">
      <c r="D24" s="68"/>
      <c r="E24" s="68"/>
      <c r="F24" s="67"/>
      <c r="G24" s="67"/>
      <c r="H24" s="67"/>
      <c r="I24" s="67"/>
    </row>
    <row r="25" spans="1:59" s="30" customFormat="1">
      <c r="A25" s="30" t="s">
        <v>40</v>
      </c>
      <c r="D25" s="210">
        <f t="shared" ref="D25:I25" si="2">+D22+D15+D10</f>
        <v>256773</v>
      </c>
      <c r="E25" s="210">
        <f t="shared" si="2"/>
        <v>123238</v>
      </c>
      <c r="F25" s="210">
        <f t="shared" si="2"/>
        <v>74830</v>
      </c>
      <c r="G25" s="210">
        <f>+G22+G15+G10</f>
        <v>74830</v>
      </c>
      <c r="H25" s="210">
        <f t="shared" si="2"/>
        <v>74830</v>
      </c>
      <c r="I25" s="210">
        <f t="shared" si="2"/>
        <v>0</v>
      </c>
    </row>
    <row r="26" spans="1:59">
      <c r="A26" s="30"/>
      <c r="B26" s="30"/>
      <c r="D26" s="378"/>
      <c r="E26" s="378"/>
      <c r="F26" s="38"/>
      <c r="G26" s="38"/>
      <c r="H26" s="38"/>
      <c r="I26" s="38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 customFormat="1">
      <c r="D27" s="372"/>
      <c r="E27" s="375"/>
      <c r="F27" s="185"/>
      <c r="G27" s="202"/>
      <c r="AT27" s="91"/>
      <c r="AU27" s="91"/>
      <c r="AV27" s="91"/>
      <c r="AW27" s="91"/>
    </row>
    <row r="28" spans="1:59">
      <c r="I28" s="36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36</oddFooter>
  </headerFooter>
  <ignoredErrors>
    <ignoredError sqref="A7:A8 A20:A21 A12:A16 A17:A18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topLeftCell="A7" zoomScale="95" zoomScaleNormal="95" zoomScalePageLayoutView="95" workbookViewId="0">
      <selection activeCell="H30" sqref="H30"/>
    </sheetView>
  </sheetViews>
  <sheetFormatPr defaultColWidth="166" defaultRowHeight="15"/>
  <cols>
    <col min="1" max="1" width="9.42578125" style="24" customWidth="1"/>
    <col min="2" max="2" width="16.42578125" style="24" customWidth="1"/>
    <col min="3" max="3" width="11.42578125" style="24" customWidth="1"/>
    <col min="4" max="5" width="14.42578125" style="62" customWidth="1"/>
    <col min="6" max="9" width="14.42578125" style="24" customWidth="1"/>
    <col min="10" max="10" width="6.42578125" style="24" customWidth="1"/>
    <col min="11" max="16384" width="166" style="24"/>
  </cols>
  <sheetData>
    <row r="1" spans="1:11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1"/>
      <c r="H1" s="1"/>
      <c r="I1" s="1"/>
    </row>
    <row r="2" spans="1:11">
      <c r="A2" s="30" t="s">
        <v>584</v>
      </c>
    </row>
    <row r="3" spans="1:11">
      <c r="A3" s="30" t="s">
        <v>585</v>
      </c>
    </row>
    <row r="4" spans="1:11" ht="43.5" customHeight="1">
      <c r="A4" s="31"/>
      <c r="B4" s="32" t="s">
        <v>41</v>
      </c>
      <c r="C4" s="33" t="s">
        <v>0</v>
      </c>
      <c r="D4" s="374" t="s">
        <v>622</v>
      </c>
      <c r="E4" s="374" t="s">
        <v>659</v>
      </c>
      <c r="F4" s="33" t="s">
        <v>660</v>
      </c>
      <c r="G4" s="33" t="s">
        <v>661</v>
      </c>
      <c r="H4" s="33" t="s">
        <v>81</v>
      </c>
      <c r="I4" s="33" t="s">
        <v>82</v>
      </c>
    </row>
    <row r="5" spans="1:11">
      <c r="A5" s="34" t="s">
        <v>38</v>
      </c>
    </row>
    <row r="6" spans="1:11">
      <c r="A6" s="35" t="s">
        <v>1</v>
      </c>
      <c r="B6" s="24" t="s">
        <v>45</v>
      </c>
      <c r="D6" s="376">
        <v>210138</v>
      </c>
      <c r="E6" s="376">
        <v>219024</v>
      </c>
      <c r="F6" s="201">
        <v>215000</v>
      </c>
      <c r="G6" s="201">
        <v>190600</v>
      </c>
      <c r="H6" s="201">
        <v>190600</v>
      </c>
      <c r="I6" s="201"/>
      <c r="K6" s="307"/>
    </row>
    <row r="7" spans="1:11">
      <c r="A7" s="35" t="s">
        <v>2</v>
      </c>
      <c r="B7" s="24" t="s">
        <v>46</v>
      </c>
      <c r="D7" s="376">
        <v>114801</v>
      </c>
      <c r="E7" s="376">
        <v>120952</v>
      </c>
      <c r="F7" s="71">
        <v>290475</v>
      </c>
      <c r="G7" s="201">
        <f>'Pers 122'!P28</f>
        <v>331277</v>
      </c>
      <c r="H7" s="201">
        <v>321277</v>
      </c>
      <c r="I7" s="201"/>
    </row>
    <row r="8" spans="1:11">
      <c r="A8" s="35" t="s">
        <v>3</v>
      </c>
      <c r="B8" s="24" t="s">
        <v>250</v>
      </c>
      <c r="D8" s="376">
        <v>13000</v>
      </c>
      <c r="E8" s="376">
        <v>12000</v>
      </c>
      <c r="F8" s="71">
        <v>13000</v>
      </c>
      <c r="G8" s="201">
        <f>'Pers 122'!P29</f>
        <v>13000</v>
      </c>
      <c r="H8" s="201">
        <v>13000</v>
      </c>
      <c r="I8" s="201"/>
    </row>
    <row r="9" spans="1:11">
      <c r="A9" s="35" t="s">
        <v>4</v>
      </c>
      <c r="B9" s="24" t="s">
        <v>47</v>
      </c>
      <c r="D9" s="376">
        <v>15051</v>
      </c>
      <c r="E9" s="376">
        <v>0</v>
      </c>
      <c r="F9" s="71">
        <v>8000</v>
      </c>
      <c r="G9" s="201">
        <f>'Pers 122'!P30</f>
        <v>8000</v>
      </c>
      <c r="H9" s="201">
        <v>8000</v>
      </c>
      <c r="I9" s="201"/>
    </row>
    <row r="10" spans="1:11">
      <c r="A10" s="74">
        <v>5142</v>
      </c>
      <c r="B10" s="24" t="s">
        <v>91</v>
      </c>
      <c r="D10" s="376">
        <v>1150</v>
      </c>
      <c r="E10" s="376">
        <v>1150</v>
      </c>
      <c r="F10" s="201">
        <v>300</v>
      </c>
      <c r="G10" s="201">
        <f>'Pers 122'!P31</f>
        <v>300</v>
      </c>
      <c r="H10" s="201">
        <v>300</v>
      </c>
      <c r="I10" s="201"/>
    </row>
    <row r="11" spans="1:11">
      <c r="A11" s="74">
        <v>5174</v>
      </c>
      <c r="B11" s="24" t="s">
        <v>408</v>
      </c>
      <c r="D11" s="376">
        <v>2805</v>
      </c>
      <c r="E11" s="376">
        <v>2805</v>
      </c>
      <c r="F11" s="201">
        <v>2800</v>
      </c>
      <c r="G11" s="376">
        <f>'Pers 122'!P32</f>
        <v>2800</v>
      </c>
      <c r="H11" s="201">
        <v>12800</v>
      </c>
      <c r="I11" s="201"/>
      <c r="K11" s="426"/>
    </row>
    <row r="12" spans="1:11">
      <c r="A12" s="74">
        <v>5192</v>
      </c>
      <c r="B12" s="24" t="s">
        <v>345</v>
      </c>
      <c r="D12" s="376">
        <v>25378</v>
      </c>
      <c r="E12" s="376">
        <v>103701</v>
      </c>
      <c r="F12" s="201">
        <v>16848</v>
      </c>
      <c r="G12" s="201">
        <f>'Pers 122'!P34</f>
        <v>0</v>
      </c>
      <c r="H12" s="201">
        <v>0</v>
      </c>
      <c r="I12" s="201"/>
    </row>
    <row r="13" spans="1:11">
      <c r="A13" s="35" t="s">
        <v>10</v>
      </c>
      <c r="B13" s="24" t="s">
        <v>52</v>
      </c>
      <c r="D13" s="376">
        <v>0</v>
      </c>
      <c r="E13" s="376">
        <v>0</v>
      </c>
      <c r="F13" s="201">
        <v>0</v>
      </c>
      <c r="G13" s="201">
        <f>'Pers 122'!P33</f>
        <v>937</v>
      </c>
      <c r="H13" s="201">
        <v>937</v>
      </c>
      <c r="I13" s="201"/>
    </row>
    <row r="14" spans="1:11">
      <c r="A14" s="35"/>
      <c r="D14" s="377">
        <f t="shared" ref="D14:I14" si="0">SUM(D6:D13)</f>
        <v>382323</v>
      </c>
      <c r="E14" s="377">
        <f t="shared" si="0"/>
        <v>459632</v>
      </c>
      <c r="F14" s="377">
        <f t="shared" si="0"/>
        <v>546423</v>
      </c>
      <c r="G14" s="295">
        <f>SUM(G6:G13)</f>
        <v>546914</v>
      </c>
      <c r="H14" s="295">
        <f t="shared" si="0"/>
        <v>546914</v>
      </c>
      <c r="I14" s="79">
        <f t="shared" si="0"/>
        <v>0</v>
      </c>
      <c r="J14" s="37"/>
    </row>
    <row r="15" spans="1:11">
      <c r="A15" s="35"/>
      <c r="D15" s="376"/>
      <c r="E15" s="376"/>
      <c r="F15" s="201"/>
      <c r="G15" s="201"/>
      <c r="H15" s="201"/>
      <c r="I15" s="67"/>
    </row>
    <row r="16" spans="1:11">
      <c r="A16" s="35" t="s">
        <v>16</v>
      </c>
      <c r="B16" s="24" t="s">
        <v>56</v>
      </c>
      <c r="D16" s="376">
        <v>13198</v>
      </c>
      <c r="E16" s="376">
        <v>13633</v>
      </c>
      <c r="F16" s="201">
        <v>18250</v>
      </c>
      <c r="G16" s="382">
        <v>20000</v>
      </c>
      <c r="H16" s="201">
        <v>20000</v>
      </c>
      <c r="I16" s="67"/>
    </row>
    <row r="17" spans="1:59">
      <c r="A17" s="74">
        <v>5300</v>
      </c>
      <c r="B17" s="24" t="s">
        <v>752</v>
      </c>
      <c r="D17" s="376">
        <v>0</v>
      </c>
      <c r="E17" s="376">
        <v>0</v>
      </c>
      <c r="F17" s="201">
        <v>0</v>
      </c>
      <c r="G17" s="376">
        <v>4800</v>
      </c>
      <c r="H17" s="201">
        <v>4800</v>
      </c>
      <c r="I17" s="67"/>
    </row>
    <row r="18" spans="1:59">
      <c r="A18" s="35" t="s">
        <v>17</v>
      </c>
      <c r="B18" s="24" t="s">
        <v>108</v>
      </c>
      <c r="D18" s="376">
        <v>1116</v>
      </c>
      <c r="E18" s="376">
        <v>1278</v>
      </c>
      <c r="F18" s="201">
        <v>3000</v>
      </c>
      <c r="G18" s="376">
        <v>3000</v>
      </c>
      <c r="H18" s="201">
        <v>3000</v>
      </c>
      <c r="I18" s="67"/>
    </row>
    <row r="19" spans="1:59">
      <c r="A19" s="35"/>
      <c r="B19" s="24" t="s">
        <v>745</v>
      </c>
      <c r="D19" s="376">
        <v>0</v>
      </c>
      <c r="E19" s="376">
        <v>0</v>
      </c>
      <c r="F19" s="201">
        <v>0</v>
      </c>
      <c r="G19" s="382">
        <v>33000</v>
      </c>
      <c r="H19" s="201">
        <v>33000</v>
      </c>
      <c r="I19" s="201"/>
      <c r="K19" s="426"/>
      <c r="L19" s="446"/>
    </row>
    <row r="20" spans="1:59">
      <c r="A20" s="74">
        <v>5360</v>
      </c>
      <c r="B20" s="24" t="s">
        <v>396</v>
      </c>
      <c r="D20" s="376">
        <v>0</v>
      </c>
      <c r="E20" s="376">
        <v>0</v>
      </c>
      <c r="F20" s="201">
        <v>0</v>
      </c>
      <c r="G20" s="376">
        <v>6000</v>
      </c>
      <c r="H20" s="201">
        <v>6000</v>
      </c>
      <c r="I20" s="67"/>
      <c r="K20" s="307"/>
    </row>
    <row r="21" spans="1:59">
      <c r="A21" s="412" t="s">
        <v>20</v>
      </c>
      <c r="B21" s="69" t="s">
        <v>59</v>
      </c>
      <c r="C21" s="69"/>
      <c r="D21" s="382">
        <v>0</v>
      </c>
      <c r="E21" s="382">
        <v>12450</v>
      </c>
      <c r="F21" s="71">
        <v>0</v>
      </c>
      <c r="G21" s="382">
        <v>0</v>
      </c>
      <c r="H21" s="201">
        <v>0</v>
      </c>
      <c r="I21" s="67"/>
    </row>
    <row r="22" spans="1:59">
      <c r="A22" s="35"/>
      <c r="D22" s="377">
        <f t="shared" ref="D22:I22" si="1">SUM(D16:D21)</f>
        <v>14314</v>
      </c>
      <c r="E22" s="377">
        <f t="shared" si="1"/>
        <v>27361</v>
      </c>
      <c r="F22" s="295">
        <f t="shared" si="1"/>
        <v>21250</v>
      </c>
      <c r="G22" s="295">
        <f>SUM(G16:G21)</f>
        <v>66800</v>
      </c>
      <c r="H22" s="295">
        <f t="shared" si="1"/>
        <v>66800</v>
      </c>
      <c r="I22" s="79">
        <f t="shared" si="1"/>
        <v>0</v>
      </c>
    </row>
    <row r="23" spans="1:59">
      <c r="A23" s="30" t="s">
        <v>43</v>
      </c>
      <c r="B23" s="24" t="s">
        <v>0</v>
      </c>
      <c r="D23" s="376"/>
      <c r="E23" s="376"/>
      <c r="F23" s="201"/>
      <c r="G23" s="201"/>
      <c r="H23" s="201"/>
      <c r="I23" s="67"/>
    </row>
    <row r="24" spans="1:59">
      <c r="A24" s="35" t="s">
        <v>21</v>
      </c>
      <c r="B24" s="24" t="s">
        <v>60</v>
      </c>
      <c r="D24" s="376">
        <v>2454</v>
      </c>
      <c r="E24" s="376">
        <v>4859</v>
      </c>
      <c r="F24" s="201">
        <v>2500</v>
      </c>
      <c r="G24" s="201">
        <v>4500</v>
      </c>
      <c r="H24" s="201">
        <v>4500</v>
      </c>
      <c r="I24" s="67"/>
    </row>
    <row r="25" spans="1:59">
      <c r="A25" s="35" t="s">
        <v>30</v>
      </c>
      <c r="B25" s="24" t="s">
        <v>69</v>
      </c>
      <c r="D25" s="376">
        <v>0</v>
      </c>
      <c r="E25" s="376">
        <v>0</v>
      </c>
      <c r="F25" s="201">
        <v>0</v>
      </c>
      <c r="G25" s="201">
        <v>0</v>
      </c>
      <c r="H25" s="201">
        <v>0</v>
      </c>
      <c r="I25" s="67"/>
    </row>
    <row r="26" spans="1:59">
      <c r="A26" s="35"/>
      <c r="D26" s="377">
        <f>SUM(D24:D25)</f>
        <v>2454</v>
      </c>
      <c r="E26" s="377">
        <f>SUM(E24:E25)</f>
        <v>4859</v>
      </c>
      <c r="F26" s="295">
        <v>2500</v>
      </c>
      <c r="G26" s="295">
        <f>SUM(G24:G25)</f>
        <v>4500</v>
      </c>
      <c r="H26" s="295">
        <f>SUM(H24:H25)</f>
        <v>4500</v>
      </c>
      <c r="I26" s="79">
        <f>SUM(I24:I25)</f>
        <v>0</v>
      </c>
    </row>
    <row r="27" spans="1:59">
      <c r="A27" s="30" t="s">
        <v>39</v>
      </c>
      <c r="D27" s="376"/>
      <c r="E27" s="376"/>
      <c r="F27" s="201"/>
      <c r="G27" s="201"/>
      <c r="H27" s="201"/>
      <c r="I27" s="67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</row>
    <row r="28" spans="1:59">
      <c r="A28" s="35" t="s">
        <v>33</v>
      </c>
      <c r="B28" s="24" t="s">
        <v>756</v>
      </c>
      <c r="D28" s="376">
        <v>2810</v>
      </c>
      <c r="E28" s="376">
        <v>3420</v>
      </c>
      <c r="F28" s="201">
        <v>3000</v>
      </c>
      <c r="G28" s="382">
        <v>12500</v>
      </c>
      <c r="H28" s="201">
        <v>12500</v>
      </c>
      <c r="I28" s="67"/>
      <c r="AT28" s="62"/>
      <c r="AU28" s="62"/>
      <c r="AV28" s="62"/>
      <c r="AW28" s="62"/>
    </row>
    <row r="29" spans="1:59">
      <c r="A29" s="35" t="s">
        <v>35</v>
      </c>
      <c r="B29" s="24" t="s">
        <v>75</v>
      </c>
      <c r="D29" s="376">
        <v>0</v>
      </c>
      <c r="E29" s="376">
        <v>0</v>
      </c>
      <c r="F29" s="201">
        <v>0</v>
      </c>
      <c r="G29" s="201">
        <v>0</v>
      </c>
      <c r="H29" s="201">
        <v>0</v>
      </c>
      <c r="I29" s="67"/>
    </row>
    <row r="30" spans="1:59">
      <c r="A30" s="35"/>
      <c r="D30" s="377">
        <f>SUM(D28:D29)</f>
        <v>2810</v>
      </c>
      <c r="E30" s="377">
        <f>SUM(E28:E29)</f>
        <v>3420</v>
      </c>
      <c r="F30" s="295">
        <v>3000</v>
      </c>
      <c r="G30" s="295">
        <f>SUM(G28:G29)</f>
        <v>12500</v>
      </c>
      <c r="H30" s="295">
        <f>SUM(H28:H29)</f>
        <v>12500</v>
      </c>
      <c r="I30" s="79">
        <f>SUM(I28:I29)</f>
        <v>0</v>
      </c>
    </row>
    <row r="31" spans="1:59">
      <c r="A31" s="35"/>
      <c r="D31" s="68"/>
      <c r="E31" s="68"/>
      <c r="F31" s="67"/>
      <c r="G31" s="67"/>
      <c r="H31" s="67"/>
      <c r="I31" s="67"/>
    </row>
    <row r="32" spans="1:59">
      <c r="D32" s="68"/>
      <c r="E32" s="68"/>
      <c r="F32" s="67"/>
      <c r="G32" s="67"/>
      <c r="H32" s="67"/>
      <c r="I32" s="67"/>
    </row>
    <row r="33" spans="1:9">
      <c r="A33" s="30" t="s">
        <v>40</v>
      </c>
      <c r="D33" s="381">
        <f t="shared" ref="D33:I33" si="2">+D30+D26+D22+D14</f>
        <v>401901</v>
      </c>
      <c r="E33" s="381">
        <f t="shared" si="2"/>
        <v>495272</v>
      </c>
      <c r="F33" s="381">
        <f t="shared" si="2"/>
        <v>573173</v>
      </c>
      <c r="G33" s="381">
        <f t="shared" si="2"/>
        <v>630714</v>
      </c>
      <c r="H33" s="381">
        <f t="shared" si="2"/>
        <v>630714</v>
      </c>
      <c r="I33" s="381">
        <f t="shared" si="2"/>
        <v>0</v>
      </c>
    </row>
    <row r="34" spans="1:9">
      <c r="D34" s="320"/>
      <c r="E34" s="320"/>
      <c r="F34" s="212"/>
      <c r="G34" s="212"/>
      <c r="H34" s="212"/>
      <c r="I34" s="212"/>
    </row>
    <row r="35" spans="1:9">
      <c r="D35" s="372"/>
      <c r="E35" s="375"/>
      <c r="F35" s="185"/>
      <c r="G35" s="307"/>
    </row>
  </sheetData>
  <phoneticPr fontId="0" type="noConversion"/>
  <printOptions horizontalCentered="1"/>
  <pageMargins left="0.45" right="0.35" top="0.75" bottom="1" header="0.3" footer="0.3"/>
  <pageSetup scale="95" orientation="landscape" r:id="rId1"/>
  <headerFooter>
    <oddFooter>&amp;L&amp;D FY25 Budget&amp;CPage 1</oddFooter>
  </headerFooter>
  <ignoredErrors>
    <ignoredError sqref="A6:A9 A18 A21:A29 A13:A16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workbookViewId="0">
      <selection activeCell="H26" sqref="H26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4" width="14.42578125" style="24" customWidth="1"/>
    <col min="5" max="5" width="14.42578125" style="365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1"/>
      <c r="E1" s="373"/>
      <c r="F1" s="1"/>
      <c r="G1" s="39"/>
      <c r="H1" s="39"/>
      <c r="I1" s="1"/>
    </row>
    <row r="2" spans="1:9">
      <c r="A2" s="30" t="s">
        <v>439</v>
      </c>
      <c r="E2" s="62"/>
    </row>
    <row r="3" spans="1:9">
      <c r="A3" s="30" t="s">
        <v>564</v>
      </c>
      <c r="D3" s="6"/>
      <c r="E3" s="93"/>
      <c r="F3" s="6"/>
      <c r="G3" s="6"/>
      <c r="H3" s="321"/>
    </row>
    <row r="4" spans="1:9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5" spans="1:9">
      <c r="D5" s="62"/>
      <c r="E5" s="62"/>
    </row>
    <row r="6" spans="1:9">
      <c r="A6" s="34" t="s">
        <v>38</v>
      </c>
      <c r="D6" s="62"/>
      <c r="E6" s="62"/>
    </row>
    <row r="7" spans="1:9">
      <c r="A7" s="35" t="s">
        <v>4</v>
      </c>
      <c r="B7" s="24" t="s">
        <v>47</v>
      </c>
      <c r="D7" s="68">
        <v>12600</v>
      </c>
      <c r="E7" s="68">
        <v>12600</v>
      </c>
      <c r="F7" s="67">
        <v>12600</v>
      </c>
      <c r="G7" s="81">
        <v>12600</v>
      </c>
      <c r="H7" s="81">
        <v>12600</v>
      </c>
      <c r="I7" s="67"/>
    </row>
    <row r="8" spans="1:9">
      <c r="A8" s="35" t="s">
        <v>5</v>
      </c>
      <c r="B8" s="24" t="s">
        <v>48</v>
      </c>
      <c r="D8" s="68">
        <v>0</v>
      </c>
      <c r="E8" s="68">
        <v>0</v>
      </c>
      <c r="F8" s="67">
        <v>0</v>
      </c>
      <c r="G8" s="67">
        <v>0</v>
      </c>
      <c r="H8" s="67">
        <v>0</v>
      </c>
      <c r="I8" s="67"/>
    </row>
    <row r="9" spans="1:9">
      <c r="A9" s="35"/>
      <c r="D9" s="94">
        <f t="shared" ref="D9:I9" si="0">SUM(D7:D8)</f>
        <v>12600</v>
      </c>
      <c r="E9" s="94">
        <f t="shared" si="0"/>
        <v>12600</v>
      </c>
      <c r="F9" s="79">
        <f t="shared" si="0"/>
        <v>12600</v>
      </c>
      <c r="G9" s="79">
        <f t="shared" si="0"/>
        <v>12600</v>
      </c>
      <c r="H9" s="79">
        <f t="shared" ref="H9" si="1">SUM(H7:H8)</f>
        <v>12600</v>
      </c>
      <c r="I9" s="79">
        <f t="shared" si="0"/>
        <v>0</v>
      </c>
    </row>
    <row r="10" spans="1:9">
      <c r="A10" s="30" t="s">
        <v>44</v>
      </c>
      <c r="D10" s="68"/>
      <c r="E10" s="68"/>
      <c r="F10" s="67"/>
      <c r="G10" s="67"/>
      <c r="H10" s="67"/>
      <c r="I10" s="67"/>
    </row>
    <row r="11" spans="1:9">
      <c r="A11" s="35" t="s">
        <v>12</v>
      </c>
      <c r="B11" s="24" t="s">
        <v>527</v>
      </c>
      <c r="D11" s="68">
        <v>2401</v>
      </c>
      <c r="E11" s="68">
        <v>16767</v>
      </c>
      <c r="F11" s="67">
        <v>30000</v>
      </c>
      <c r="G11" s="67">
        <v>30000</v>
      </c>
      <c r="H11" s="67">
        <v>30000</v>
      </c>
      <c r="I11" s="67"/>
    </row>
    <row r="12" spans="1:9">
      <c r="A12" s="35" t="s">
        <v>13</v>
      </c>
      <c r="B12" s="24" t="s">
        <v>53</v>
      </c>
      <c r="D12" s="68">
        <v>5055</v>
      </c>
      <c r="E12" s="68">
        <v>1000</v>
      </c>
      <c r="F12" s="67">
        <v>6000</v>
      </c>
      <c r="G12" s="67">
        <v>6000</v>
      </c>
      <c r="H12" s="67">
        <v>6000</v>
      </c>
      <c r="I12" s="67"/>
    </row>
    <row r="13" spans="1:9">
      <c r="A13" s="35"/>
      <c r="D13" s="94">
        <f t="shared" ref="D13:I13" si="2">SUM(D11:D12)</f>
        <v>7456</v>
      </c>
      <c r="E13" s="94">
        <f t="shared" si="2"/>
        <v>17767</v>
      </c>
      <c r="F13" s="79">
        <f t="shared" si="2"/>
        <v>36000</v>
      </c>
      <c r="G13" s="79">
        <f t="shared" si="2"/>
        <v>36000</v>
      </c>
      <c r="H13" s="79">
        <f t="shared" ref="H13" si="3">SUM(H11:H12)</f>
        <v>36000</v>
      </c>
      <c r="I13" s="79">
        <f t="shared" si="2"/>
        <v>0</v>
      </c>
    </row>
    <row r="14" spans="1:9">
      <c r="A14" s="35"/>
      <c r="D14" s="68"/>
      <c r="E14" s="68"/>
      <c r="F14" s="67"/>
      <c r="G14" s="67"/>
      <c r="H14" s="67"/>
      <c r="I14" s="67"/>
    </row>
    <row r="15" spans="1:9">
      <c r="A15" s="35" t="s">
        <v>16</v>
      </c>
      <c r="B15" s="24" t="s">
        <v>56</v>
      </c>
      <c r="D15" s="68">
        <v>3815</v>
      </c>
      <c r="E15" s="68">
        <v>4175</v>
      </c>
      <c r="F15" s="67">
        <v>4120</v>
      </c>
      <c r="G15" s="67">
        <v>4244</v>
      </c>
      <c r="H15" s="67">
        <v>4244</v>
      </c>
      <c r="I15" s="67"/>
    </row>
    <row r="16" spans="1:9">
      <c r="A16" s="35" t="s">
        <v>20</v>
      </c>
      <c r="B16" s="24" t="s">
        <v>59</v>
      </c>
      <c r="D16" s="68">
        <v>0</v>
      </c>
      <c r="E16" s="68">
        <v>0</v>
      </c>
      <c r="F16" s="67">
        <v>0</v>
      </c>
      <c r="G16" s="67">
        <v>0</v>
      </c>
      <c r="H16" s="67">
        <v>0</v>
      </c>
      <c r="I16" s="67"/>
    </row>
    <row r="17" spans="1:59">
      <c r="A17" s="35"/>
      <c r="D17" s="94">
        <f t="shared" ref="D17:I17" si="4">SUM(D15:D16)</f>
        <v>3815</v>
      </c>
      <c r="E17" s="94">
        <f t="shared" si="4"/>
        <v>4175</v>
      </c>
      <c r="F17" s="79">
        <f t="shared" si="4"/>
        <v>4120</v>
      </c>
      <c r="G17" s="79">
        <f t="shared" si="4"/>
        <v>4244</v>
      </c>
      <c r="H17" s="79">
        <f t="shared" ref="H17" si="5">SUM(H15:H16)</f>
        <v>4244</v>
      </c>
      <c r="I17" s="79">
        <f t="shared" si="4"/>
        <v>0</v>
      </c>
    </row>
    <row r="18" spans="1:59">
      <c r="A18" s="30" t="s">
        <v>43</v>
      </c>
      <c r="B18" s="24" t="s">
        <v>0</v>
      </c>
      <c r="D18" s="68"/>
      <c r="E18" s="68"/>
      <c r="F18" s="67" t="s">
        <v>0</v>
      </c>
      <c r="G18" s="67" t="s">
        <v>0</v>
      </c>
      <c r="H18" s="67" t="s">
        <v>0</v>
      </c>
      <c r="I18" s="67" t="s">
        <v>0</v>
      </c>
    </row>
    <row r="19" spans="1:59">
      <c r="A19" s="35" t="s">
        <v>24</v>
      </c>
      <c r="B19" s="24" t="s">
        <v>63</v>
      </c>
      <c r="D19" s="68">
        <v>10512</v>
      </c>
      <c r="E19" s="68">
        <v>11138</v>
      </c>
      <c r="F19" s="67">
        <v>12005</v>
      </c>
      <c r="G19" s="81">
        <v>12365</v>
      </c>
      <c r="H19" s="81">
        <v>12365</v>
      </c>
      <c r="I19" s="67"/>
    </row>
    <row r="20" spans="1:59">
      <c r="A20" s="35" t="s">
        <v>25</v>
      </c>
      <c r="B20" s="24" t="s">
        <v>64</v>
      </c>
      <c r="D20" s="68">
        <v>134</v>
      </c>
      <c r="E20" s="68">
        <v>516</v>
      </c>
      <c r="F20" s="67">
        <v>1000</v>
      </c>
      <c r="G20" s="67">
        <v>1000</v>
      </c>
      <c r="H20" s="67">
        <v>1000</v>
      </c>
      <c r="I20" s="67"/>
    </row>
    <row r="21" spans="1:59">
      <c r="A21" s="256" t="s">
        <v>406</v>
      </c>
      <c r="B21" s="24" t="s">
        <v>398</v>
      </c>
      <c r="D21" s="68">
        <v>0</v>
      </c>
      <c r="E21" s="68">
        <v>0</v>
      </c>
      <c r="F21" s="67">
        <v>300</v>
      </c>
      <c r="G21" s="67">
        <v>300</v>
      </c>
      <c r="H21" s="67">
        <v>300</v>
      </c>
      <c r="I21" s="67"/>
    </row>
    <row r="22" spans="1:59">
      <c r="A22" s="35" t="s">
        <v>29</v>
      </c>
      <c r="B22" s="24" t="s">
        <v>68</v>
      </c>
      <c r="D22" s="68">
        <v>11829</v>
      </c>
      <c r="E22" s="68">
        <v>6141</v>
      </c>
      <c r="F22" s="67">
        <v>7210</v>
      </c>
      <c r="G22" s="67">
        <v>7426</v>
      </c>
      <c r="H22" s="67">
        <v>7426</v>
      </c>
      <c r="I22" s="67"/>
    </row>
    <row r="23" spans="1:59">
      <c r="A23" s="35" t="s">
        <v>30</v>
      </c>
      <c r="B23" s="24" t="s">
        <v>69</v>
      </c>
      <c r="D23" s="68">
        <v>0</v>
      </c>
      <c r="E23" s="68">
        <v>0</v>
      </c>
      <c r="F23" s="67">
        <v>0</v>
      </c>
      <c r="G23" s="67">
        <v>0</v>
      </c>
      <c r="H23" s="67">
        <v>0</v>
      </c>
      <c r="I23" s="67"/>
    </row>
    <row r="24" spans="1:59">
      <c r="A24" s="35"/>
      <c r="D24" s="94">
        <f t="shared" ref="D24:I24" si="6">SUM(D19:D23)</f>
        <v>22475</v>
      </c>
      <c r="E24" s="94">
        <f t="shared" si="6"/>
        <v>17795</v>
      </c>
      <c r="F24" s="79">
        <f t="shared" si="6"/>
        <v>20515</v>
      </c>
      <c r="G24" s="79">
        <f t="shared" si="6"/>
        <v>21091</v>
      </c>
      <c r="H24" s="79">
        <f t="shared" ref="H24" si="7">SUM(H19:H23)</f>
        <v>21091</v>
      </c>
      <c r="I24" s="79">
        <f t="shared" si="6"/>
        <v>0</v>
      </c>
    </row>
    <row r="25" spans="1:59">
      <c r="A25" s="35"/>
      <c r="D25" s="68"/>
      <c r="E25" s="68"/>
      <c r="F25" s="67"/>
      <c r="G25" s="67"/>
      <c r="H25" s="67"/>
      <c r="I25" s="67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</row>
    <row r="26" spans="1:59">
      <c r="A26" s="30" t="s">
        <v>40</v>
      </c>
      <c r="D26" s="210">
        <f t="shared" ref="D26:I26" si="8">+D24+D17+D13+D9</f>
        <v>46346</v>
      </c>
      <c r="E26" s="210">
        <f t="shared" si="8"/>
        <v>52337</v>
      </c>
      <c r="F26" s="202">
        <f t="shared" si="8"/>
        <v>73235</v>
      </c>
      <c r="G26" s="202">
        <f>+G24+G17+G13+G9</f>
        <v>73935</v>
      </c>
      <c r="H26" s="202">
        <f t="shared" si="8"/>
        <v>73935</v>
      </c>
      <c r="I26" s="202">
        <f t="shared" si="8"/>
        <v>0</v>
      </c>
    </row>
    <row r="27" spans="1:59" customFormat="1">
      <c r="D27" s="91"/>
      <c r="E27" s="91"/>
    </row>
    <row r="28" spans="1:59" customFormat="1">
      <c r="D28" s="372"/>
      <c r="E28" s="375"/>
      <c r="F28" s="185"/>
      <c r="G28" s="202"/>
    </row>
    <row r="29" spans="1:59">
      <c r="D29" s="62"/>
      <c r="E29" s="62"/>
      <c r="G29" s="189"/>
    </row>
    <row r="30" spans="1:59">
      <c r="D30" s="62"/>
      <c r="E30" s="62"/>
      <c r="G30" s="189"/>
      <c r="I30" s="399"/>
    </row>
    <row r="31" spans="1:59">
      <c r="D31" s="62"/>
      <c r="E31" s="62"/>
      <c r="G31" s="189"/>
      <c r="I31" s="399"/>
      <c r="J31" s="399"/>
    </row>
    <row r="32" spans="1:59">
      <c r="D32" s="62"/>
      <c r="E32" s="62"/>
    </row>
    <row r="33" spans="4:5">
      <c r="D33" s="62"/>
      <c r="E33" s="62"/>
    </row>
    <row r="34" spans="4:5">
      <c r="D34" s="62"/>
      <c r="E34" s="62"/>
    </row>
    <row r="35" spans="4:5">
      <c r="D35" s="62"/>
      <c r="E35" s="62"/>
    </row>
    <row r="36" spans="4:5">
      <c r="D36" s="62"/>
      <c r="E36" s="62"/>
    </row>
    <row r="37" spans="4:5">
      <c r="D37" s="62"/>
      <c r="E37" s="62"/>
    </row>
    <row r="38" spans="4:5">
      <c r="D38" s="62"/>
      <c r="E38" s="62"/>
    </row>
    <row r="39" spans="4:5">
      <c r="D39" s="62"/>
      <c r="E39" s="62"/>
    </row>
    <row r="40" spans="4:5">
      <c r="D40" s="62"/>
      <c r="E40" s="62"/>
    </row>
    <row r="41" spans="4:5">
      <c r="D41" s="62"/>
      <c r="E41" s="62"/>
    </row>
    <row r="42" spans="4:5">
      <c r="D42" s="62"/>
      <c r="E42" s="62"/>
    </row>
    <row r="43" spans="4:5">
      <c r="D43" s="62"/>
      <c r="E43" s="62"/>
    </row>
    <row r="44" spans="4:5">
      <c r="D44" s="62"/>
      <c r="E44" s="62"/>
    </row>
    <row r="45" spans="4:5">
      <c r="D45" s="62"/>
      <c r="E45" s="62"/>
    </row>
    <row r="46" spans="4:5">
      <c r="D46" s="62"/>
      <c r="E46" s="62"/>
    </row>
    <row r="47" spans="4:5">
      <c r="D47" s="62"/>
      <c r="E47" s="62"/>
    </row>
    <row r="48" spans="4:5">
      <c r="D48" s="62"/>
      <c r="E48" s="62"/>
    </row>
    <row r="49" spans="4:5">
      <c r="D49" s="62"/>
      <c r="E49" s="62"/>
    </row>
    <row r="50" spans="4:5">
      <c r="D50" s="62"/>
      <c r="E50" s="62"/>
    </row>
    <row r="51" spans="4:5">
      <c r="D51" s="62"/>
      <c r="E51" s="62"/>
    </row>
    <row r="52" spans="4:5">
      <c r="D52" s="62"/>
      <c r="E52" s="62"/>
    </row>
    <row r="53" spans="4:5">
      <c r="D53" s="62"/>
      <c r="E53" s="62"/>
    </row>
    <row r="54" spans="4:5">
      <c r="D54" s="62"/>
      <c r="E54" s="62"/>
    </row>
    <row r="55" spans="4:5">
      <c r="D55" s="62"/>
      <c r="E55" s="62"/>
    </row>
    <row r="56" spans="4:5">
      <c r="D56" s="62"/>
      <c r="E56" s="62"/>
    </row>
    <row r="57" spans="4:5">
      <c r="D57" s="62"/>
      <c r="E57" s="62"/>
    </row>
    <row r="58" spans="4:5">
      <c r="D58" s="62"/>
      <c r="E58" s="62"/>
    </row>
    <row r="59" spans="4:5">
      <c r="D59" s="62"/>
      <c r="E59" s="62"/>
    </row>
    <row r="60" spans="4:5">
      <c r="D60" s="62"/>
      <c r="E60" s="62"/>
    </row>
    <row r="61" spans="4:5">
      <c r="D61" s="62"/>
      <c r="E61" s="62"/>
    </row>
    <row r="62" spans="4:5">
      <c r="D62" s="62"/>
      <c r="E62" s="62"/>
    </row>
    <row r="63" spans="4:5">
      <c r="D63" s="62"/>
      <c r="E63" s="62"/>
    </row>
    <row r="64" spans="4:5">
      <c r="D64" s="62"/>
      <c r="E64" s="62"/>
    </row>
    <row r="65" spans="4:5">
      <c r="D65" s="62"/>
      <c r="E65" s="62"/>
    </row>
    <row r="66" spans="4:5">
      <c r="D66" s="62"/>
      <c r="E66" s="62"/>
    </row>
    <row r="67" spans="4:5">
      <c r="D67" s="62"/>
      <c r="E67" s="62"/>
    </row>
    <row r="68" spans="4:5">
      <c r="D68" s="62"/>
      <c r="E68" s="62"/>
    </row>
    <row r="69" spans="4:5">
      <c r="D69" s="62"/>
      <c r="E69" s="62"/>
    </row>
    <row r="70" spans="4:5">
      <c r="D70" s="62"/>
      <c r="E70" s="62"/>
    </row>
    <row r="71" spans="4:5">
      <c r="D71" s="62"/>
      <c r="E71" s="62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37</oddFooter>
  </headerFooter>
  <ignoredErrors>
    <ignoredError sqref="A22:A25 A7 A19:A20 A11:A18 A9:A10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showWhiteSpace="0" topLeftCell="A10" workbookViewId="0">
      <selection activeCell="H14" sqref="H14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431</v>
      </c>
    </row>
    <row r="3" spans="1:9">
      <c r="A3" s="30" t="s">
        <v>596</v>
      </c>
      <c r="D3" s="93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376">
        <v>89728</v>
      </c>
      <c r="E7" s="376">
        <v>94385</v>
      </c>
      <c r="F7" s="201">
        <v>99979</v>
      </c>
      <c r="G7" s="201">
        <f>'Pers 511'!N26</f>
        <v>106144</v>
      </c>
      <c r="H7" s="201">
        <v>106144</v>
      </c>
      <c r="I7" s="201"/>
    </row>
    <row r="8" spans="1:9">
      <c r="A8" s="35" t="s">
        <v>2</v>
      </c>
      <c r="B8" s="24" t="s">
        <v>46</v>
      </c>
      <c r="D8" s="376">
        <v>96639</v>
      </c>
      <c r="E8" s="376">
        <v>100277</v>
      </c>
      <c r="F8" s="201">
        <v>105965</v>
      </c>
      <c r="G8" s="376">
        <f>'Pers 511'!N27</f>
        <v>136686</v>
      </c>
      <c r="H8" s="201">
        <v>136686</v>
      </c>
      <c r="I8" s="201"/>
    </row>
    <row r="9" spans="1:9">
      <c r="A9" s="35" t="s">
        <v>3</v>
      </c>
      <c r="B9" s="24" t="s">
        <v>250</v>
      </c>
      <c r="D9" s="376">
        <v>780</v>
      </c>
      <c r="E9" s="376">
        <v>520</v>
      </c>
      <c r="F9" s="201">
        <v>1080</v>
      </c>
      <c r="G9" s="201">
        <f>'Pers 511'!N28</f>
        <v>1080</v>
      </c>
      <c r="H9" s="201">
        <v>1080</v>
      </c>
      <c r="I9" s="201"/>
    </row>
    <row r="10" spans="1:9">
      <c r="A10" s="35" t="s">
        <v>382</v>
      </c>
      <c r="B10" s="24" t="s">
        <v>91</v>
      </c>
      <c r="D10" s="376">
        <v>3000</v>
      </c>
      <c r="E10" s="376">
        <v>1400</v>
      </c>
      <c r="F10" s="201">
        <v>1400</v>
      </c>
      <c r="G10" s="201">
        <f>'Pers 511'!N29</f>
        <v>1700</v>
      </c>
      <c r="H10" s="201">
        <v>1700</v>
      </c>
      <c r="I10" s="201"/>
    </row>
    <row r="11" spans="1:9">
      <c r="A11" s="74">
        <v>5174</v>
      </c>
      <c r="B11" s="24" t="s">
        <v>408</v>
      </c>
      <c r="D11" s="376">
        <v>0</v>
      </c>
      <c r="E11" s="376">
        <v>1000</v>
      </c>
      <c r="F11" s="201">
        <v>1000</v>
      </c>
      <c r="G11" s="201">
        <f>'Pers 511'!N30</f>
        <v>2000</v>
      </c>
      <c r="H11" s="201">
        <v>2000</v>
      </c>
      <c r="I11" s="201"/>
    </row>
    <row r="12" spans="1:9">
      <c r="A12" s="74">
        <v>5192</v>
      </c>
      <c r="B12" s="24" t="s">
        <v>345</v>
      </c>
      <c r="D12" s="376">
        <v>21096</v>
      </c>
      <c r="E12" s="376">
        <v>1227</v>
      </c>
      <c r="F12" s="201">
        <v>1252</v>
      </c>
      <c r="G12" s="201">
        <f>'Pers 511'!N31</f>
        <v>1252</v>
      </c>
      <c r="H12" s="201">
        <v>1252</v>
      </c>
      <c r="I12" s="201"/>
    </row>
    <row r="13" spans="1:9">
      <c r="A13" s="35" t="s">
        <v>10</v>
      </c>
      <c r="B13" s="24" t="s">
        <v>52</v>
      </c>
      <c r="D13" s="376">
        <v>0</v>
      </c>
      <c r="E13" s="376">
        <v>0</v>
      </c>
      <c r="F13" s="201">
        <v>0</v>
      </c>
      <c r="G13" s="376">
        <f>'Pers 511'!N32</f>
        <v>1333</v>
      </c>
      <c r="H13" s="201">
        <v>1333</v>
      </c>
      <c r="I13" s="201"/>
    </row>
    <row r="14" spans="1:9">
      <c r="A14" s="35"/>
      <c r="D14" s="377">
        <f t="shared" ref="D14:I14" si="0">SUM(D7:D13)</f>
        <v>211243</v>
      </c>
      <c r="E14" s="377">
        <f t="shared" si="0"/>
        <v>198809</v>
      </c>
      <c r="F14" s="295">
        <f t="shared" si="0"/>
        <v>210676</v>
      </c>
      <c r="G14" s="377">
        <f t="shared" si="0"/>
        <v>250195</v>
      </c>
      <c r="H14" s="295">
        <f>SUM(H7:H13)</f>
        <v>250195</v>
      </c>
      <c r="I14" s="295">
        <f t="shared" si="0"/>
        <v>0</v>
      </c>
    </row>
    <row r="15" spans="1:9">
      <c r="A15" s="35"/>
      <c r="D15" s="302"/>
      <c r="E15" s="302"/>
      <c r="F15" s="22"/>
      <c r="G15" s="302"/>
      <c r="H15" s="22"/>
      <c r="I15" s="22"/>
    </row>
    <row r="16" spans="1:9">
      <c r="A16" s="30" t="s">
        <v>44</v>
      </c>
      <c r="D16" s="376"/>
      <c r="E16" s="376"/>
      <c r="F16" s="201"/>
      <c r="G16" s="376"/>
      <c r="H16" s="201"/>
      <c r="I16" s="201"/>
    </row>
    <row r="17" spans="1:59">
      <c r="A17" s="35" t="s">
        <v>16</v>
      </c>
      <c r="B17" s="24" t="s">
        <v>56</v>
      </c>
      <c r="D17" s="376">
        <v>785</v>
      </c>
      <c r="E17" s="376">
        <v>4166</v>
      </c>
      <c r="F17" s="201">
        <v>3500</v>
      </c>
      <c r="G17" s="201">
        <v>4000</v>
      </c>
      <c r="H17" s="201">
        <v>4000</v>
      </c>
      <c r="I17" s="201"/>
    </row>
    <row r="18" spans="1:59">
      <c r="A18" s="35" t="s">
        <v>20</v>
      </c>
      <c r="B18" s="24" t="s">
        <v>59</v>
      </c>
      <c r="D18" s="376">
        <v>0</v>
      </c>
      <c r="E18" s="376">
        <v>0</v>
      </c>
      <c r="F18" s="201">
        <v>0</v>
      </c>
      <c r="G18" s="201">
        <v>0</v>
      </c>
      <c r="H18" s="201">
        <v>0</v>
      </c>
      <c r="I18" s="201"/>
    </row>
    <row r="19" spans="1:59">
      <c r="A19" s="35"/>
      <c r="D19" s="377">
        <f t="shared" ref="D19:I19" si="1">SUM(D17:D18)</f>
        <v>785</v>
      </c>
      <c r="E19" s="377">
        <f t="shared" si="1"/>
        <v>4166</v>
      </c>
      <c r="F19" s="295">
        <f t="shared" si="1"/>
        <v>3500</v>
      </c>
      <c r="G19" s="295">
        <f t="shared" ref="G19:H19" si="2">SUM(G17:G18)</f>
        <v>4000</v>
      </c>
      <c r="H19" s="295">
        <f t="shared" si="2"/>
        <v>4000</v>
      </c>
      <c r="I19" s="295">
        <f t="shared" si="1"/>
        <v>0</v>
      </c>
    </row>
    <row r="20" spans="1:59">
      <c r="A20" s="30" t="s">
        <v>43</v>
      </c>
      <c r="B20" s="24" t="s">
        <v>0</v>
      </c>
      <c r="D20" s="376" t="s">
        <v>0</v>
      </c>
      <c r="E20" s="376"/>
      <c r="F20" s="201" t="s">
        <v>0</v>
      </c>
      <c r="G20" s="201" t="s">
        <v>0</v>
      </c>
      <c r="H20" s="201" t="s">
        <v>0</v>
      </c>
      <c r="I20" s="201" t="s">
        <v>0</v>
      </c>
    </row>
    <row r="21" spans="1:59">
      <c r="A21" s="35" t="s">
        <v>21</v>
      </c>
      <c r="B21" s="24" t="s">
        <v>60</v>
      </c>
      <c r="D21" s="376">
        <v>700</v>
      </c>
      <c r="E21" s="376">
        <v>1753</v>
      </c>
      <c r="F21" s="201">
        <v>1150</v>
      </c>
      <c r="G21" s="201">
        <v>1150</v>
      </c>
      <c r="H21" s="201">
        <v>1150</v>
      </c>
      <c r="I21" s="201"/>
    </row>
    <row r="22" spans="1:59">
      <c r="A22" s="35" t="s">
        <v>27</v>
      </c>
      <c r="B22" s="24" t="s">
        <v>760</v>
      </c>
      <c r="D22" s="376">
        <v>29</v>
      </c>
      <c r="E22" s="376">
        <v>721</v>
      </c>
      <c r="F22" s="201">
        <v>2000</v>
      </c>
      <c r="G22" s="201">
        <v>2000</v>
      </c>
      <c r="H22" s="201">
        <v>2000</v>
      </c>
      <c r="I22" s="201"/>
    </row>
    <row r="23" spans="1:59">
      <c r="A23" s="35" t="s">
        <v>30</v>
      </c>
      <c r="B23" s="24" t="s">
        <v>69</v>
      </c>
      <c r="D23" s="376">
        <v>150</v>
      </c>
      <c r="E23" s="376">
        <v>171</v>
      </c>
      <c r="F23" s="201">
        <v>1020</v>
      </c>
      <c r="G23" s="201">
        <v>1000</v>
      </c>
      <c r="H23" s="201">
        <v>1000</v>
      </c>
      <c r="I23" s="201"/>
    </row>
    <row r="24" spans="1:59">
      <c r="A24" s="35"/>
      <c r="D24" s="377">
        <f t="shared" ref="D24:I24" si="3">SUM(D21:D23)</f>
        <v>879</v>
      </c>
      <c r="E24" s="377">
        <f t="shared" si="3"/>
        <v>2645</v>
      </c>
      <c r="F24" s="295">
        <f t="shared" si="3"/>
        <v>4170</v>
      </c>
      <c r="G24" s="295">
        <f t="shared" ref="G24:H24" si="4">SUM(G21:G23)</f>
        <v>4150</v>
      </c>
      <c r="H24" s="295">
        <f t="shared" si="4"/>
        <v>4150</v>
      </c>
      <c r="I24" s="295">
        <f t="shared" si="3"/>
        <v>0</v>
      </c>
    </row>
    <row r="25" spans="1:59">
      <c r="A25" s="35"/>
      <c r="D25" s="376"/>
      <c r="E25" s="376"/>
      <c r="F25" s="201"/>
      <c r="G25" s="201"/>
      <c r="H25" s="201"/>
      <c r="I25" s="201"/>
    </row>
    <row r="26" spans="1:59">
      <c r="A26" s="30" t="s">
        <v>39</v>
      </c>
      <c r="D26" s="376"/>
      <c r="E26" s="376"/>
      <c r="F26" s="201"/>
      <c r="G26" s="201"/>
      <c r="H26" s="201"/>
      <c r="I26" s="201"/>
    </row>
    <row r="27" spans="1:59">
      <c r="A27" s="35" t="s">
        <v>31</v>
      </c>
      <c r="B27" s="24" t="s">
        <v>70</v>
      </c>
      <c r="D27" s="376">
        <v>1826</v>
      </c>
      <c r="E27" s="376">
        <v>3112</v>
      </c>
      <c r="F27" s="201">
        <v>3250</v>
      </c>
      <c r="G27" s="201">
        <v>3500</v>
      </c>
      <c r="H27" s="201">
        <v>3500</v>
      </c>
      <c r="I27" s="201"/>
    </row>
    <row r="28" spans="1:59">
      <c r="A28" s="35" t="s">
        <v>33</v>
      </c>
      <c r="B28" s="24" t="s">
        <v>71</v>
      </c>
      <c r="D28" s="376">
        <v>1025</v>
      </c>
      <c r="E28" s="376">
        <v>285</v>
      </c>
      <c r="F28" s="201">
        <v>700</v>
      </c>
      <c r="G28" s="201">
        <v>700</v>
      </c>
      <c r="H28" s="201">
        <v>700</v>
      </c>
      <c r="I28" s="201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</row>
    <row r="29" spans="1:59">
      <c r="A29" s="35" t="s">
        <v>35</v>
      </c>
      <c r="B29" s="24" t="s">
        <v>75</v>
      </c>
      <c r="D29" s="376">
        <v>0</v>
      </c>
      <c r="E29" s="376">
        <v>0</v>
      </c>
      <c r="F29" s="201">
        <v>0</v>
      </c>
      <c r="G29" s="201">
        <v>0</v>
      </c>
      <c r="H29" s="201">
        <v>0</v>
      </c>
      <c r="I29" s="201"/>
      <c r="AT29" s="62"/>
      <c r="AU29" s="62"/>
      <c r="AV29" s="62"/>
      <c r="AW29" s="62"/>
    </row>
    <row r="30" spans="1:59">
      <c r="A30" s="35"/>
      <c r="D30" s="377">
        <f t="shared" ref="D30:I30" si="5">SUM(D27:D29)</f>
        <v>2851</v>
      </c>
      <c r="E30" s="377">
        <f t="shared" si="5"/>
        <v>3397</v>
      </c>
      <c r="F30" s="295">
        <f t="shared" si="5"/>
        <v>3950</v>
      </c>
      <c r="G30" s="295">
        <f t="shared" ref="G30:H30" si="6">SUM(G27:G29)</f>
        <v>4200</v>
      </c>
      <c r="H30" s="295">
        <f t="shared" si="6"/>
        <v>4200</v>
      </c>
      <c r="I30" s="295">
        <f t="shared" si="5"/>
        <v>0</v>
      </c>
    </row>
    <row r="31" spans="1:59">
      <c r="D31" s="68"/>
      <c r="E31" s="68"/>
      <c r="F31" s="67"/>
      <c r="G31" s="67"/>
      <c r="H31" s="67"/>
      <c r="I31" s="67"/>
    </row>
    <row r="32" spans="1:59">
      <c r="A32" s="30" t="s">
        <v>40</v>
      </c>
      <c r="D32" s="210">
        <f t="shared" ref="D32:I32" si="7">+D30+D24+D19+D14</f>
        <v>215758</v>
      </c>
      <c r="E32" s="210">
        <f t="shared" si="7"/>
        <v>209017</v>
      </c>
      <c r="F32" s="210">
        <f t="shared" si="7"/>
        <v>222296</v>
      </c>
      <c r="G32" s="210">
        <f t="shared" si="7"/>
        <v>262545</v>
      </c>
      <c r="H32" s="210">
        <f t="shared" si="7"/>
        <v>262545</v>
      </c>
      <c r="I32" s="210">
        <f t="shared" si="7"/>
        <v>0</v>
      </c>
    </row>
    <row r="33" spans="1:9">
      <c r="A33" s="30"/>
      <c r="D33" s="210"/>
      <c r="E33" s="210"/>
      <c r="F33" s="202"/>
      <c r="G33" s="351"/>
      <c r="H33" s="202"/>
      <c r="I33" s="202"/>
    </row>
    <row r="34" spans="1:9">
      <c r="D34" s="372"/>
      <c r="E34" s="375"/>
      <c r="F34" s="185"/>
      <c r="G34" s="202"/>
    </row>
    <row r="35" spans="1:9">
      <c r="F35" s="64"/>
      <c r="G35" s="211"/>
    </row>
  </sheetData>
  <printOptions horizontalCentered="1"/>
  <pageMargins left="0.45" right="0.35" top="0.75" bottom="1" header="0.3" footer="0.3"/>
  <pageSetup scale="98" orientation="landscape" r:id="rId1"/>
  <headerFooter>
    <oddFooter>&amp;L&amp;D FY25 Budget&amp;CPage 38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C8" sqref="C8:C16"/>
    </sheetView>
  </sheetViews>
  <sheetFormatPr defaultColWidth="9" defaultRowHeight="15"/>
  <cols>
    <col min="1" max="1" width="15.42578125" style="24" customWidth="1"/>
    <col min="2" max="2" width="9.7109375" style="24" customWidth="1"/>
    <col min="3" max="3" width="6.7109375" style="24" customWidth="1"/>
    <col min="4" max="4" width="6.5703125" style="24" customWidth="1"/>
    <col min="5" max="5" width="9.28515625" style="24" bestFit="1" customWidth="1"/>
    <col min="6" max="6" width="12.42578125" style="24" customWidth="1"/>
    <col min="7" max="7" width="10.42578125" style="24" hidden="1" customWidth="1"/>
    <col min="8" max="9" width="9.28515625" style="24" bestFit="1" customWidth="1"/>
    <col min="10" max="10" width="9.42578125" style="24" bestFit="1" customWidth="1"/>
    <col min="11" max="13" width="6.5703125" style="24" customWidth="1"/>
    <col min="14" max="14" width="11.5703125" style="24" customWidth="1"/>
    <col min="15" max="15" width="11.5703125" style="24" hidden="1" customWidth="1"/>
    <col min="16" max="18" width="11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0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0" t="s">
        <v>495</v>
      </c>
      <c r="K2" s="334"/>
    </row>
    <row r="3" spans="1:18">
      <c r="K3" s="53"/>
    </row>
    <row r="4" spans="1:18">
      <c r="B4" s="42" t="s">
        <v>481</v>
      </c>
      <c r="C4" s="44"/>
      <c r="D4" s="42"/>
      <c r="E4" s="42"/>
      <c r="F4" s="43" t="s">
        <v>624</v>
      </c>
      <c r="G4" s="43"/>
      <c r="H4" s="45"/>
      <c r="I4" s="45"/>
      <c r="J4" s="45"/>
      <c r="K4" s="44"/>
      <c r="L4" s="42"/>
      <c r="M4" s="42"/>
      <c r="N4" s="43" t="s">
        <v>662</v>
      </c>
      <c r="O4" s="43"/>
      <c r="P4" s="45"/>
      <c r="Q4" s="45"/>
      <c r="R4" s="45"/>
    </row>
    <row r="5" spans="1:18" s="48" customFormat="1">
      <c r="B5" s="49" t="s">
        <v>480</v>
      </c>
      <c r="C5" s="50" t="s">
        <v>620</v>
      </c>
      <c r="D5" s="49" t="s">
        <v>86</v>
      </c>
      <c r="E5" s="49" t="s">
        <v>87</v>
      </c>
      <c r="F5" s="49" t="s">
        <v>88</v>
      </c>
      <c r="G5" s="326" t="s">
        <v>338</v>
      </c>
      <c r="H5" s="326" t="s">
        <v>90</v>
      </c>
      <c r="I5" s="327" t="s">
        <v>91</v>
      </c>
      <c r="J5" s="49" t="s">
        <v>342</v>
      </c>
      <c r="K5" s="50" t="s">
        <v>621</v>
      </c>
      <c r="L5" s="49" t="s">
        <v>86</v>
      </c>
      <c r="M5" s="49" t="s">
        <v>87</v>
      </c>
      <c r="N5" s="49" t="s">
        <v>88</v>
      </c>
      <c r="O5" s="326" t="s">
        <v>338</v>
      </c>
      <c r="P5" s="326" t="s">
        <v>90</v>
      </c>
      <c r="Q5" s="327" t="s">
        <v>91</v>
      </c>
      <c r="R5" s="49" t="s">
        <v>342</v>
      </c>
    </row>
    <row r="6" spans="1:18">
      <c r="K6" s="53"/>
    </row>
    <row r="7" spans="1:18">
      <c r="A7" s="24" t="s">
        <v>45</v>
      </c>
      <c r="K7" s="53"/>
    </row>
    <row r="8" spans="1:18">
      <c r="A8" s="24" t="s">
        <v>561</v>
      </c>
      <c r="B8" s="189">
        <v>42556</v>
      </c>
      <c r="C8" s="42"/>
      <c r="D8" s="42" t="s">
        <v>340</v>
      </c>
      <c r="E8" s="42" t="s">
        <v>340</v>
      </c>
      <c r="F8" s="73">
        <v>22217.4</v>
      </c>
      <c r="G8" s="36">
        <v>3702.9</v>
      </c>
      <c r="H8" s="36"/>
      <c r="I8" s="73">
        <v>300</v>
      </c>
      <c r="J8" s="36">
        <v>0</v>
      </c>
      <c r="K8" s="44"/>
      <c r="L8" s="42"/>
      <c r="M8" s="42"/>
      <c r="N8" s="188">
        <v>66096.850000000006</v>
      </c>
      <c r="O8" s="188">
        <v>3888.05</v>
      </c>
      <c r="P8" s="188"/>
      <c r="Q8" s="188">
        <v>300</v>
      </c>
      <c r="R8" s="188">
        <v>0</v>
      </c>
    </row>
    <row r="9" spans="1:18">
      <c r="B9" s="189"/>
      <c r="C9" s="42"/>
      <c r="F9" s="73">
        <v>77761</v>
      </c>
      <c r="G9" s="73">
        <v>3888.05</v>
      </c>
      <c r="H9" s="73"/>
      <c r="I9" s="73"/>
      <c r="J9" s="73"/>
      <c r="K9" s="44"/>
      <c r="N9" s="188">
        <v>40046.76</v>
      </c>
      <c r="O9" s="188">
        <v>4449.6400000000003</v>
      </c>
      <c r="P9" s="188"/>
      <c r="Q9" s="188"/>
      <c r="R9" s="188"/>
    </row>
    <row r="10" spans="1:18">
      <c r="B10" s="189"/>
      <c r="C10" s="42"/>
      <c r="F10" s="73"/>
      <c r="G10" s="73"/>
      <c r="H10" s="73"/>
      <c r="I10" s="73"/>
      <c r="J10" s="73"/>
      <c r="K10" s="44"/>
      <c r="N10" s="73"/>
      <c r="O10" s="73"/>
      <c r="P10" s="73"/>
      <c r="Q10" s="188"/>
      <c r="R10" s="188"/>
    </row>
    <row r="11" spans="1:18">
      <c r="A11" s="24" t="s">
        <v>562</v>
      </c>
      <c r="B11" s="189">
        <v>38320</v>
      </c>
      <c r="C11" s="42"/>
      <c r="D11" s="42" t="s">
        <v>95</v>
      </c>
      <c r="E11" s="42">
        <v>5</v>
      </c>
      <c r="F11" s="73">
        <v>65077.74</v>
      </c>
      <c r="G11" s="73">
        <v>2502.9899999999998</v>
      </c>
      <c r="H11" s="73">
        <v>35.76</v>
      </c>
      <c r="I11" s="73">
        <v>1100</v>
      </c>
      <c r="J11" s="73">
        <v>1251.5</v>
      </c>
      <c r="K11" s="44"/>
      <c r="L11" s="42" t="s">
        <v>95</v>
      </c>
      <c r="M11" s="42"/>
      <c r="N11" s="188">
        <f>+O11*26.125</f>
        <v>65390.613749999997</v>
      </c>
      <c r="O11" s="73">
        <v>2502.9899999999998</v>
      </c>
      <c r="P11" s="73">
        <v>35.76</v>
      </c>
      <c r="Q11" s="188">
        <v>1100</v>
      </c>
      <c r="R11" s="188">
        <f>+O11/2</f>
        <v>1251.4949999999999</v>
      </c>
    </row>
    <row r="12" spans="1:18">
      <c r="B12" s="189"/>
      <c r="C12" s="42"/>
      <c r="D12" s="42"/>
      <c r="E12" s="42"/>
      <c r="F12" s="73"/>
      <c r="G12" s="73"/>
      <c r="H12" s="73"/>
      <c r="I12" s="73"/>
      <c r="J12" s="73"/>
      <c r="K12" s="44"/>
      <c r="L12" s="42"/>
      <c r="M12" s="42"/>
      <c r="N12" s="73"/>
      <c r="O12" s="73"/>
      <c r="P12" s="73"/>
      <c r="Q12" s="188"/>
      <c r="R12" s="188"/>
    </row>
    <row r="13" spans="1:18">
      <c r="B13" s="189"/>
      <c r="C13" s="42"/>
      <c r="D13" s="36" t="s">
        <v>0</v>
      </c>
      <c r="F13" s="73"/>
      <c r="G13" s="73"/>
      <c r="H13" s="73"/>
      <c r="I13" s="73"/>
      <c r="J13" s="73"/>
      <c r="K13" s="44"/>
      <c r="L13" s="36"/>
      <c r="N13" s="73"/>
      <c r="O13" s="73"/>
      <c r="P13" s="73"/>
      <c r="Q13" s="188"/>
      <c r="R13" s="188"/>
    </row>
    <row r="14" spans="1:18">
      <c r="A14" s="24" t="s">
        <v>631</v>
      </c>
      <c r="B14" s="189">
        <v>43808</v>
      </c>
      <c r="C14" s="42"/>
      <c r="D14" s="24" t="s">
        <v>0</v>
      </c>
      <c r="F14" s="73">
        <v>68886.94</v>
      </c>
      <c r="G14" s="73">
        <v>2649.5</v>
      </c>
      <c r="H14" s="73"/>
      <c r="I14" s="73">
        <v>0</v>
      </c>
      <c r="J14" s="73">
        <v>0</v>
      </c>
      <c r="K14" s="44"/>
      <c r="L14" s="42"/>
      <c r="M14" s="42"/>
      <c r="N14" s="188">
        <f>+O14*26.125</f>
        <v>71294.733124999999</v>
      </c>
      <c r="O14" s="73">
        <f>2649.5*1.03</f>
        <v>2728.9850000000001</v>
      </c>
      <c r="P14" s="73"/>
      <c r="Q14" s="188">
        <v>300</v>
      </c>
      <c r="R14" s="188">
        <v>0</v>
      </c>
    </row>
    <row r="15" spans="1:18">
      <c r="C15" s="42"/>
      <c r="F15" s="73"/>
      <c r="G15" s="73"/>
      <c r="H15" s="73"/>
      <c r="I15" s="73"/>
      <c r="J15" s="73"/>
      <c r="K15" s="44"/>
      <c r="N15" s="73"/>
      <c r="O15" s="73"/>
      <c r="P15" s="73"/>
      <c r="Q15" s="73"/>
      <c r="R15" s="73"/>
    </row>
    <row r="16" spans="1:18">
      <c r="A16" s="24" t="s">
        <v>250</v>
      </c>
      <c r="F16" s="73"/>
      <c r="G16" s="73"/>
      <c r="H16" s="73"/>
      <c r="I16" s="73"/>
      <c r="J16" s="73"/>
      <c r="K16" s="53"/>
      <c r="N16" s="73"/>
      <c r="O16" s="73"/>
      <c r="P16" s="73"/>
      <c r="Q16" s="73"/>
      <c r="R16" s="73"/>
    </row>
    <row r="17" spans="1:18">
      <c r="A17" s="24" t="s">
        <v>477</v>
      </c>
      <c r="C17" s="42"/>
      <c r="F17" s="73">
        <f>+G17*12</f>
        <v>240</v>
      </c>
      <c r="G17" s="73">
        <v>20</v>
      </c>
      <c r="H17" s="73"/>
      <c r="I17" s="191"/>
      <c r="J17" s="191"/>
      <c r="K17" s="44"/>
      <c r="N17" s="73">
        <f>+O17*12</f>
        <v>240</v>
      </c>
      <c r="O17" s="73">
        <v>20</v>
      </c>
      <c r="P17" s="73"/>
      <c r="Q17" s="191"/>
      <c r="R17" s="191"/>
    </row>
    <row r="18" spans="1:18">
      <c r="A18" s="24" t="s">
        <v>477</v>
      </c>
      <c r="C18" s="42"/>
      <c r="F18" s="73">
        <f>+G18*12</f>
        <v>240</v>
      </c>
      <c r="G18" s="73">
        <v>20</v>
      </c>
      <c r="H18" s="73"/>
      <c r="I18" s="191"/>
      <c r="J18" s="191"/>
      <c r="K18" s="44"/>
      <c r="N18" s="73">
        <f>+O18*12</f>
        <v>240</v>
      </c>
      <c r="O18" s="73">
        <v>20</v>
      </c>
      <c r="P18" s="73"/>
      <c r="Q18" s="191"/>
      <c r="R18" s="191"/>
    </row>
    <row r="19" spans="1:18">
      <c r="A19" s="24" t="s">
        <v>478</v>
      </c>
      <c r="C19" s="42"/>
      <c r="F19" s="73">
        <f>+G19*12</f>
        <v>600</v>
      </c>
      <c r="G19" s="73">
        <v>50</v>
      </c>
      <c r="H19" s="73"/>
      <c r="I19" s="191"/>
      <c r="J19" s="191"/>
      <c r="K19" s="44"/>
      <c r="N19" s="73">
        <f>+O19*12</f>
        <v>600</v>
      </c>
      <c r="O19" s="73">
        <v>50</v>
      </c>
      <c r="P19" s="73"/>
      <c r="Q19" s="191"/>
      <c r="R19" s="191"/>
    </row>
    <row r="20" spans="1:18">
      <c r="C20" s="42"/>
      <c r="F20" s="73"/>
      <c r="G20" s="73"/>
      <c r="H20" s="73"/>
      <c r="I20" s="191"/>
      <c r="J20" s="191"/>
      <c r="K20" s="44"/>
      <c r="N20" s="73"/>
      <c r="O20" s="73"/>
      <c r="P20" s="73"/>
      <c r="Q20" s="191"/>
      <c r="R20" s="191"/>
    </row>
    <row r="21" spans="1:18">
      <c r="A21" s="24" t="s">
        <v>51</v>
      </c>
      <c r="C21" s="42"/>
      <c r="F21" s="73"/>
      <c r="G21" s="73"/>
      <c r="H21" s="73"/>
      <c r="I21" s="73"/>
      <c r="J21" s="73"/>
      <c r="K21" s="44"/>
      <c r="N21" s="73"/>
      <c r="O21" s="73"/>
      <c r="P21" s="73"/>
      <c r="Q21" s="73"/>
      <c r="R21" s="73"/>
    </row>
    <row r="22" spans="1:18">
      <c r="A22" s="24" t="s">
        <v>645</v>
      </c>
      <c r="C22" s="42"/>
      <c r="F22" s="73">
        <v>1000</v>
      </c>
      <c r="G22" s="191"/>
      <c r="H22" s="191"/>
      <c r="I22" s="191"/>
      <c r="J22" s="191"/>
      <c r="K22" s="44"/>
      <c r="N22" s="73">
        <v>2000</v>
      </c>
      <c r="O22" s="191"/>
      <c r="P22" s="191"/>
      <c r="Q22" s="191"/>
      <c r="R22" s="191"/>
    </row>
    <row r="23" spans="1:18">
      <c r="A23" s="24" t="s">
        <v>333</v>
      </c>
      <c r="K23" s="53"/>
    </row>
    <row r="24" spans="1:18">
      <c r="K24" s="53"/>
    </row>
    <row r="25" spans="1:18">
      <c r="A25" s="40" t="s">
        <v>96</v>
      </c>
      <c r="B25" s="40"/>
      <c r="K25" s="53"/>
    </row>
    <row r="26" spans="1:18">
      <c r="A26" s="24" t="s">
        <v>45</v>
      </c>
      <c r="F26" s="36">
        <v>99979</v>
      </c>
      <c r="I26" s="36"/>
      <c r="K26" s="53"/>
      <c r="N26" s="36">
        <f>ROUNDUP(N8+N9,0)</f>
        <v>106144</v>
      </c>
      <c r="Q26" s="36"/>
    </row>
    <row r="27" spans="1:18">
      <c r="A27" s="24" t="s">
        <v>46</v>
      </c>
      <c r="F27" s="36">
        <v>105965</v>
      </c>
      <c r="G27" s="24" t="s">
        <v>638</v>
      </c>
      <c r="K27" s="53"/>
      <c r="N27" s="36">
        <f>ROUNDUP(SUM(N11:N14),0)</f>
        <v>136686</v>
      </c>
      <c r="O27" s="24" t="s">
        <v>750</v>
      </c>
    </row>
    <row r="28" spans="1:18">
      <c r="A28" s="24" t="s">
        <v>250</v>
      </c>
      <c r="F28" s="36">
        <f>+F17+F18+F19</f>
        <v>1080</v>
      </c>
      <c r="K28" s="53"/>
      <c r="N28" s="36">
        <v>1080</v>
      </c>
    </row>
    <row r="29" spans="1:18">
      <c r="A29" s="24" t="s">
        <v>91</v>
      </c>
      <c r="F29" s="36">
        <f>+I8+I11</f>
        <v>1400</v>
      </c>
      <c r="K29" s="53"/>
      <c r="N29" s="36">
        <f>+Q8+Q11+Q13+Q14</f>
        <v>1700</v>
      </c>
    </row>
    <row r="30" spans="1:18">
      <c r="A30" s="24" t="s">
        <v>445</v>
      </c>
      <c r="F30" s="36">
        <f>+F22</f>
        <v>1000</v>
      </c>
      <c r="K30" s="53"/>
      <c r="N30" s="36">
        <v>2000</v>
      </c>
    </row>
    <row r="31" spans="1:18">
      <c r="A31" s="24" t="s">
        <v>345</v>
      </c>
      <c r="F31" s="54">
        <f>ROUNDUP(J11,0)</f>
        <v>1252</v>
      </c>
      <c r="K31" s="53"/>
      <c r="N31" s="54">
        <f>ROUNDUP(R8+R11+R13+R14,0)</f>
        <v>1252</v>
      </c>
    </row>
    <row r="32" spans="1:18">
      <c r="A32" s="24" t="s">
        <v>52</v>
      </c>
      <c r="F32" s="92">
        <v>0</v>
      </c>
      <c r="G32" s="62"/>
      <c r="H32" s="62"/>
      <c r="I32" s="62"/>
      <c r="J32" s="62"/>
      <c r="K32" s="53"/>
      <c r="N32" s="36">
        <f>ROUNDUP(N11*0.02+R11*0.02,0)</f>
        <v>1333</v>
      </c>
      <c r="O32" s="62"/>
      <c r="P32" s="62"/>
      <c r="Q32" s="62"/>
      <c r="R32" s="62"/>
    </row>
    <row r="33" spans="1:18">
      <c r="F33" s="92"/>
      <c r="G33" s="62"/>
      <c r="H33" s="62"/>
      <c r="I33" s="62"/>
      <c r="J33" s="62"/>
      <c r="K33" s="53"/>
      <c r="N33" s="92"/>
      <c r="O33" s="62"/>
      <c r="P33" s="62"/>
      <c r="Q33" s="62"/>
      <c r="R33" s="62"/>
    </row>
    <row r="34" spans="1:18">
      <c r="A34" s="42" t="s">
        <v>337</v>
      </c>
      <c r="B34" s="42"/>
      <c r="F34" s="186">
        <f>SUM(F26:F32)</f>
        <v>210676</v>
      </c>
      <c r="K34" s="53"/>
      <c r="N34" s="186">
        <f>SUM(N26:N32)</f>
        <v>250195</v>
      </c>
    </row>
    <row r="35" spans="1:18">
      <c r="F35" s="36"/>
      <c r="G35" s="36"/>
      <c r="H35" s="36"/>
      <c r="I35" s="36"/>
      <c r="J35" s="36"/>
      <c r="N35" s="36"/>
      <c r="O35" s="36"/>
      <c r="P35" s="36"/>
      <c r="Q35" s="36"/>
      <c r="R35" s="36"/>
    </row>
    <row r="37" spans="1:18">
      <c r="F37" s="60" t="s">
        <v>626</v>
      </c>
      <c r="N37" s="60" t="s">
        <v>666</v>
      </c>
    </row>
    <row r="38" spans="1:18">
      <c r="F38" s="60" t="s">
        <v>625</v>
      </c>
      <c r="N38" s="60" t="s">
        <v>664</v>
      </c>
    </row>
    <row r="39" spans="1:18">
      <c r="F39" s="313" t="s">
        <v>97</v>
      </c>
      <c r="G39" s="62"/>
      <c r="H39" s="62"/>
      <c r="I39" s="62"/>
      <c r="K39" s="62"/>
      <c r="L39" s="62"/>
      <c r="M39" s="62"/>
      <c r="N39" s="313" t="s">
        <v>97</v>
      </c>
    </row>
    <row r="42" spans="1:18">
      <c r="F42" s="62"/>
    </row>
    <row r="43" spans="1:18">
      <c r="F43" s="62"/>
    </row>
  </sheetData>
  <phoneticPr fontId="0" type="noConversion"/>
  <printOptions horizontalCentered="1" gridLines="1"/>
  <pageMargins left="0.45" right="0.35" top="0.75" bottom="1" header="0.3" footer="0.3"/>
  <pageSetup scale="67" orientation="landscape" r:id="rId1"/>
  <headerFooter>
    <oddFooter>&amp;L&amp;D FY25 Budget&amp;CPage 39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showWhiteSpace="0" topLeftCell="A7" workbookViewId="0">
      <selection activeCell="H26" sqref="H26:H33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432</v>
      </c>
    </row>
    <row r="3" spans="1:9">
      <c r="A3" s="30" t="s">
        <v>554</v>
      </c>
      <c r="D3" s="370"/>
      <c r="E3" s="370"/>
      <c r="F3" s="6"/>
      <c r="G3" s="6"/>
    </row>
    <row r="4" spans="1:9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376">
        <v>73542</v>
      </c>
      <c r="E7" s="376">
        <v>76652</v>
      </c>
      <c r="F7" s="201">
        <v>79543</v>
      </c>
      <c r="G7" s="201">
        <f>'Pers 541'!P21</f>
        <v>82323</v>
      </c>
      <c r="H7" s="201">
        <v>82323</v>
      </c>
      <c r="I7" s="201"/>
    </row>
    <row r="8" spans="1:9">
      <c r="A8" s="35" t="s">
        <v>2</v>
      </c>
      <c r="B8" s="24" t="s">
        <v>46</v>
      </c>
      <c r="D8" s="376">
        <v>146580</v>
      </c>
      <c r="E8" s="376">
        <v>202330</v>
      </c>
      <c r="F8" s="201">
        <v>212021</v>
      </c>
      <c r="G8" s="201">
        <f>'Pers 541'!P22</f>
        <v>214456</v>
      </c>
      <c r="H8" s="201">
        <v>214456</v>
      </c>
      <c r="I8" s="201"/>
    </row>
    <row r="9" spans="1:9">
      <c r="A9" s="35" t="s">
        <v>6</v>
      </c>
      <c r="B9" s="24" t="s">
        <v>91</v>
      </c>
      <c r="D9" s="376">
        <v>2250</v>
      </c>
      <c r="E9" s="376">
        <v>2450</v>
      </c>
      <c r="F9" s="201">
        <v>2450</v>
      </c>
      <c r="G9" s="201">
        <f>'Pers 541'!P23</f>
        <v>2450</v>
      </c>
      <c r="H9" s="201">
        <v>2450</v>
      </c>
      <c r="I9" s="201"/>
    </row>
    <row r="10" spans="1:9">
      <c r="A10" s="35" t="s">
        <v>448</v>
      </c>
      <c r="B10" s="24" t="s">
        <v>342</v>
      </c>
      <c r="D10" s="376">
        <v>2771</v>
      </c>
      <c r="E10" s="376">
        <v>0</v>
      </c>
      <c r="F10" s="201">
        <v>1335</v>
      </c>
      <c r="G10" s="201">
        <f>'Pers 541'!P24</f>
        <v>1335</v>
      </c>
      <c r="H10" s="201">
        <v>1335</v>
      </c>
      <c r="I10" s="201"/>
    </row>
    <row r="11" spans="1:9">
      <c r="A11" s="35" t="s">
        <v>10</v>
      </c>
      <c r="B11" s="24" t="s">
        <v>52</v>
      </c>
      <c r="D11" s="376">
        <v>0</v>
      </c>
      <c r="E11" s="376">
        <v>0</v>
      </c>
      <c r="F11" s="201">
        <v>0</v>
      </c>
      <c r="G11" s="201">
        <f>'Pers 541'!P25</f>
        <v>1421</v>
      </c>
      <c r="H11" s="201">
        <v>1421</v>
      </c>
      <c r="I11" s="201"/>
    </row>
    <row r="12" spans="1:9">
      <c r="A12" s="35"/>
      <c r="D12" s="377">
        <f t="shared" ref="D12:I12" si="0">SUM(D7:D11)</f>
        <v>225143</v>
      </c>
      <c r="E12" s="377">
        <f t="shared" si="0"/>
        <v>281432</v>
      </c>
      <c r="F12" s="295">
        <f t="shared" si="0"/>
        <v>295349</v>
      </c>
      <c r="G12" s="295">
        <f>SUM(G7:G11)</f>
        <v>301985</v>
      </c>
      <c r="H12" s="295">
        <f>SUM(H7:H11)</f>
        <v>301985</v>
      </c>
      <c r="I12" s="295">
        <f t="shared" si="0"/>
        <v>0</v>
      </c>
    </row>
    <row r="13" spans="1:9">
      <c r="A13" s="35"/>
      <c r="B13" s="30"/>
      <c r="D13" s="376"/>
      <c r="E13" s="376"/>
      <c r="F13" s="201"/>
      <c r="G13" s="201"/>
      <c r="H13" s="201"/>
      <c r="I13" s="201"/>
    </row>
    <row r="14" spans="1:9">
      <c r="A14" s="30" t="s">
        <v>44</v>
      </c>
      <c r="D14" s="376"/>
      <c r="E14" s="376"/>
      <c r="F14" s="201"/>
      <c r="G14" s="201"/>
      <c r="H14" s="201"/>
      <c r="I14" s="201"/>
    </row>
    <row r="15" spans="1:9">
      <c r="A15" s="74" t="s">
        <v>11</v>
      </c>
      <c r="B15" s="24" t="s">
        <v>526</v>
      </c>
      <c r="D15" s="376">
        <v>0</v>
      </c>
      <c r="E15" s="376">
        <v>0</v>
      </c>
      <c r="F15" s="201">
        <v>0</v>
      </c>
      <c r="G15" s="201">
        <v>3000</v>
      </c>
      <c r="H15" s="201">
        <v>3000</v>
      </c>
      <c r="I15" s="201"/>
    </row>
    <row r="16" spans="1:9">
      <c r="A16" s="74">
        <v>5212</v>
      </c>
      <c r="B16" s="24" t="s">
        <v>525</v>
      </c>
      <c r="D16" s="376">
        <v>0</v>
      </c>
      <c r="E16" s="376">
        <v>0</v>
      </c>
      <c r="F16" s="201">
        <v>0</v>
      </c>
      <c r="G16" s="201">
        <v>5000</v>
      </c>
      <c r="H16" s="201">
        <v>5000</v>
      </c>
      <c r="I16" s="201"/>
    </row>
    <row r="17" spans="1:10">
      <c r="A17" s="35" t="s">
        <v>13</v>
      </c>
      <c r="B17" s="24" t="s">
        <v>53</v>
      </c>
      <c r="D17" s="376">
        <v>2772</v>
      </c>
      <c r="E17" s="376">
        <v>5262</v>
      </c>
      <c r="F17" s="201">
        <v>4550</v>
      </c>
      <c r="G17" s="201">
        <v>6200</v>
      </c>
      <c r="H17" s="201">
        <v>6200</v>
      </c>
      <c r="I17" s="201"/>
    </row>
    <row r="18" spans="1:10">
      <c r="A18" s="35" t="s">
        <v>15</v>
      </c>
      <c r="B18" s="24" t="s">
        <v>588</v>
      </c>
      <c r="D18" s="376">
        <v>369</v>
      </c>
      <c r="E18" s="376">
        <v>1084</v>
      </c>
      <c r="F18" s="71">
        <v>1200</v>
      </c>
      <c r="G18" s="71">
        <v>1200</v>
      </c>
      <c r="H18" s="71">
        <v>1200</v>
      </c>
      <c r="I18" s="201"/>
    </row>
    <row r="19" spans="1:10">
      <c r="A19" s="74">
        <v>5300</v>
      </c>
      <c r="B19" s="24" t="s">
        <v>580</v>
      </c>
      <c r="D19" s="376">
        <v>555</v>
      </c>
      <c r="E19" s="376">
        <v>329</v>
      </c>
      <c r="F19" s="71">
        <v>450</v>
      </c>
      <c r="G19" s="71">
        <v>225</v>
      </c>
      <c r="H19" s="71">
        <v>225</v>
      </c>
      <c r="I19" s="201"/>
    </row>
    <row r="20" spans="1:10">
      <c r="A20" s="74">
        <v>5340</v>
      </c>
      <c r="B20" s="24" t="s">
        <v>58</v>
      </c>
      <c r="D20" s="376">
        <v>2370</v>
      </c>
      <c r="E20" s="376">
        <v>581</v>
      </c>
      <c r="F20" s="71">
        <v>1450</v>
      </c>
      <c r="G20" s="71">
        <v>1400</v>
      </c>
      <c r="H20" s="71">
        <v>1400</v>
      </c>
      <c r="I20" s="201"/>
    </row>
    <row r="21" spans="1:10">
      <c r="A21" s="74">
        <v>5380</v>
      </c>
      <c r="B21" s="24" t="s">
        <v>470</v>
      </c>
      <c r="D21" s="376">
        <v>11806</v>
      </c>
      <c r="E21" s="376">
        <v>11381</v>
      </c>
      <c r="F21" s="201">
        <v>15450</v>
      </c>
      <c r="G21" s="201">
        <v>17150</v>
      </c>
      <c r="H21" s="201">
        <v>17150</v>
      </c>
      <c r="I21" s="201"/>
      <c r="J21" s="259"/>
    </row>
    <row r="22" spans="1:10">
      <c r="A22" s="74">
        <v>5350</v>
      </c>
      <c r="B22" s="24" t="s">
        <v>655</v>
      </c>
      <c r="D22" s="376">
        <v>1540</v>
      </c>
      <c r="E22" s="376">
        <v>5421</v>
      </c>
      <c r="F22" s="201">
        <v>3000</v>
      </c>
      <c r="G22" s="201">
        <v>3000</v>
      </c>
      <c r="H22" s="201">
        <v>3000</v>
      </c>
      <c r="I22" s="201"/>
      <c r="J22" s="259"/>
    </row>
    <row r="23" spans="1:10">
      <c r="A23" s="35"/>
      <c r="D23" s="377">
        <f t="shared" ref="D23:I23" si="1">SUM(D15:D22)</f>
        <v>19412</v>
      </c>
      <c r="E23" s="377">
        <f t="shared" si="1"/>
        <v>24058</v>
      </c>
      <c r="F23" s="377">
        <f t="shared" si="1"/>
        <v>26100</v>
      </c>
      <c r="G23" s="377">
        <f t="shared" si="1"/>
        <v>37175</v>
      </c>
      <c r="H23" s="377">
        <f t="shared" si="1"/>
        <v>37175</v>
      </c>
      <c r="I23" s="377">
        <f t="shared" si="1"/>
        <v>0</v>
      </c>
    </row>
    <row r="24" spans="1:10">
      <c r="A24" s="35"/>
      <c r="D24" s="376"/>
      <c r="E24" s="376"/>
      <c r="F24" s="201"/>
      <c r="G24" s="201"/>
      <c r="H24" s="201"/>
      <c r="I24" s="201"/>
    </row>
    <row r="25" spans="1:10">
      <c r="A25" s="30" t="s">
        <v>43</v>
      </c>
      <c r="B25" s="24" t="s">
        <v>0</v>
      </c>
      <c r="D25" s="376" t="s">
        <v>0</v>
      </c>
      <c r="E25" s="376" t="s">
        <v>0</v>
      </c>
      <c r="F25" s="201" t="s">
        <v>0</v>
      </c>
      <c r="G25" s="201" t="s">
        <v>0</v>
      </c>
      <c r="H25" s="201" t="s">
        <v>0</v>
      </c>
      <c r="I25" s="201" t="s">
        <v>0</v>
      </c>
    </row>
    <row r="26" spans="1:10">
      <c r="A26" s="35" t="s">
        <v>21</v>
      </c>
      <c r="B26" s="24" t="s">
        <v>60</v>
      </c>
      <c r="D26" s="376">
        <v>1246</v>
      </c>
      <c r="E26" s="376">
        <v>2623</v>
      </c>
      <c r="F26" s="201">
        <v>1630</v>
      </c>
      <c r="G26" s="201">
        <v>1630</v>
      </c>
      <c r="H26" s="201">
        <v>1630</v>
      </c>
      <c r="I26" s="201"/>
    </row>
    <row r="27" spans="1:10">
      <c r="A27" s="35" t="s">
        <v>22</v>
      </c>
      <c r="B27" s="24" t="s">
        <v>61</v>
      </c>
      <c r="D27" s="376">
        <v>537</v>
      </c>
      <c r="E27" s="376">
        <v>75</v>
      </c>
      <c r="F27" s="201">
        <v>545</v>
      </c>
      <c r="G27" s="201">
        <v>545</v>
      </c>
      <c r="H27" s="201">
        <v>545</v>
      </c>
      <c r="I27" s="201"/>
    </row>
    <row r="28" spans="1:10">
      <c r="A28" s="35" t="s">
        <v>23</v>
      </c>
      <c r="B28" s="24" t="s">
        <v>62</v>
      </c>
      <c r="D28" s="376">
        <v>183</v>
      </c>
      <c r="E28" s="376">
        <v>585</v>
      </c>
      <c r="F28" s="201">
        <v>1000</v>
      </c>
      <c r="G28" s="201">
        <v>1000</v>
      </c>
      <c r="H28" s="201">
        <v>1000</v>
      </c>
      <c r="I28" s="201"/>
    </row>
    <row r="29" spans="1:10">
      <c r="A29" s="35" t="s">
        <v>25</v>
      </c>
      <c r="B29" s="24" t="s">
        <v>582</v>
      </c>
      <c r="D29" s="376">
        <v>3494</v>
      </c>
      <c r="E29" s="376">
        <v>5171</v>
      </c>
      <c r="F29" s="201">
        <v>2300</v>
      </c>
      <c r="G29" s="201">
        <v>2300</v>
      </c>
      <c r="H29" s="201">
        <v>2300</v>
      </c>
      <c r="I29" s="201"/>
    </row>
    <row r="30" spans="1:10">
      <c r="A30" s="35" t="s">
        <v>406</v>
      </c>
      <c r="B30" s="24" t="s">
        <v>390</v>
      </c>
      <c r="D30" s="376">
        <v>3530</v>
      </c>
      <c r="E30" s="376">
        <v>5427</v>
      </c>
      <c r="F30" s="201">
        <v>5300</v>
      </c>
      <c r="G30" s="201">
        <v>6300</v>
      </c>
      <c r="H30" s="201">
        <v>6300</v>
      </c>
      <c r="I30" s="201"/>
    </row>
    <row r="31" spans="1:10">
      <c r="A31" s="74">
        <v>5700</v>
      </c>
      <c r="B31" s="24" t="s">
        <v>404</v>
      </c>
      <c r="D31" s="376">
        <v>146</v>
      </c>
      <c r="E31" s="376">
        <v>3624</v>
      </c>
      <c r="F31" s="201">
        <v>800</v>
      </c>
      <c r="G31" s="201">
        <v>800</v>
      </c>
      <c r="H31" s="201">
        <v>800</v>
      </c>
      <c r="I31" s="201"/>
    </row>
    <row r="32" spans="1:10">
      <c r="A32" s="74">
        <v>5710</v>
      </c>
      <c r="B32" s="24" t="s">
        <v>581</v>
      </c>
      <c r="D32" s="376">
        <v>0</v>
      </c>
      <c r="E32" s="376">
        <v>0</v>
      </c>
      <c r="F32" s="201">
        <v>400</v>
      </c>
      <c r="G32" s="201">
        <v>400</v>
      </c>
      <c r="H32" s="201">
        <v>400</v>
      </c>
      <c r="I32" s="201"/>
    </row>
    <row r="33" spans="1:59">
      <c r="A33" s="74">
        <v>5730</v>
      </c>
      <c r="B33" s="24" t="s">
        <v>589</v>
      </c>
      <c r="D33" s="376">
        <v>595</v>
      </c>
      <c r="E33" s="376">
        <v>700</v>
      </c>
      <c r="F33" s="201">
        <v>800</v>
      </c>
      <c r="G33" s="201">
        <v>400</v>
      </c>
      <c r="H33" s="201">
        <v>400</v>
      </c>
      <c r="I33" s="201"/>
    </row>
    <row r="34" spans="1:59">
      <c r="A34" s="35"/>
      <c r="D34" s="377">
        <f t="shared" ref="D34:I34" si="2">SUM(D26:D33)</f>
        <v>9731</v>
      </c>
      <c r="E34" s="377">
        <f t="shared" si="2"/>
        <v>18205</v>
      </c>
      <c r="F34" s="377">
        <f t="shared" si="2"/>
        <v>12775</v>
      </c>
      <c r="G34" s="377">
        <f>SUM(G26:G33)</f>
        <v>13375</v>
      </c>
      <c r="H34" s="377">
        <f t="shared" ref="H34" si="3">SUM(H26:H33)</f>
        <v>13375</v>
      </c>
      <c r="I34" s="377">
        <f t="shared" si="2"/>
        <v>0</v>
      </c>
    </row>
    <row r="35" spans="1:59">
      <c r="D35" s="68"/>
      <c r="E35" s="68"/>
      <c r="F35" s="67"/>
      <c r="G35" s="67"/>
      <c r="H35" s="67"/>
      <c r="I35" s="67"/>
    </row>
    <row r="36" spans="1:59">
      <c r="A36" s="30" t="s">
        <v>40</v>
      </c>
      <c r="D36" s="210">
        <f t="shared" ref="D36:I36" si="4">+D34+D23+D12</f>
        <v>254286</v>
      </c>
      <c r="E36" s="210">
        <f t="shared" si="4"/>
        <v>323695</v>
      </c>
      <c r="F36" s="210">
        <f t="shared" si="4"/>
        <v>334224</v>
      </c>
      <c r="G36" s="202">
        <f t="shared" si="4"/>
        <v>352535</v>
      </c>
      <c r="H36" s="202">
        <f t="shared" si="4"/>
        <v>352535</v>
      </c>
      <c r="I36" s="202">
        <f t="shared" si="4"/>
        <v>0</v>
      </c>
    </row>
    <row r="37" spans="1:59" customFormat="1">
      <c r="D37" s="91"/>
      <c r="E37" s="91"/>
      <c r="F37" s="83"/>
    </row>
    <row r="38" spans="1:59" customFormat="1">
      <c r="D38" s="372"/>
      <c r="E38" s="375"/>
      <c r="F38" s="185"/>
      <c r="G38" s="202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</row>
    <row r="39" spans="1:59">
      <c r="I39" s="36"/>
      <c r="AT39" s="62"/>
      <c r="AU39" s="62"/>
      <c r="AV39" s="62"/>
      <c r="AW39" s="62"/>
    </row>
  </sheetData>
  <phoneticPr fontId="0" type="noConversion"/>
  <printOptions horizontalCentered="1"/>
  <pageMargins left="0.45" right="0.35" top="0.75" bottom="1" header="0.3" footer="0.3"/>
  <pageSetup scale="83" orientation="landscape" r:id="rId1"/>
  <headerFooter>
    <oddFooter>&amp;L&amp;D FY25 Budget&amp;CPage 40</oddFooter>
  </headerFooter>
  <ignoredErrors>
    <ignoredError sqref="A7:A8 A23:A24 A11 A17 A25:A28 A9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selection activeCell="C9" sqref="C9"/>
    </sheetView>
  </sheetViews>
  <sheetFormatPr defaultColWidth="9" defaultRowHeight="15"/>
  <cols>
    <col min="1" max="1" width="12.42578125" style="24" customWidth="1"/>
    <col min="2" max="2" width="10.5703125" style="24" customWidth="1"/>
    <col min="3" max="3" width="6.42578125" style="24" customWidth="1"/>
    <col min="4" max="4" width="5.7109375" style="24" customWidth="1"/>
    <col min="5" max="5" width="6.5703125" style="24" customWidth="1"/>
    <col min="6" max="6" width="5.42578125" style="24" customWidth="1"/>
    <col min="7" max="7" width="12.42578125" style="24" customWidth="1"/>
    <col min="8" max="8" width="11.42578125" style="24" hidden="1" customWidth="1"/>
    <col min="9" max="10" width="9" style="24"/>
    <col min="11" max="11" width="9.28515625" style="24" bestFit="1" customWidth="1"/>
    <col min="12" max="15" width="6.5703125" style="24" customWidth="1"/>
    <col min="16" max="16" width="11.5703125" style="24" customWidth="1"/>
    <col min="17" max="17" width="11.5703125" style="24" hidden="1" customWidth="1"/>
    <col min="18" max="20" width="11.5703125" style="24" customWidth="1"/>
    <col min="21" max="16384" width="9" style="24"/>
  </cols>
  <sheetData>
    <row r="1" spans="1:20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</row>
    <row r="2" spans="1:20">
      <c r="A2" s="40" t="s">
        <v>42</v>
      </c>
      <c r="B2" s="41" t="s">
        <v>134</v>
      </c>
      <c r="L2" s="334"/>
    </row>
    <row r="3" spans="1:20">
      <c r="B3" s="42"/>
      <c r="L3" s="53"/>
    </row>
    <row r="4" spans="1:20">
      <c r="B4" s="42"/>
      <c r="L4" s="53"/>
    </row>
    <row r="5" spans="1:20">
      <c r="B5" s="42" t="s">
        <v>481</v>
      </c>
      <c r="C5" s="44"/>
      <c r="D5" s="42"/>
      <c r="E5" s="42"/>
      <c r="F5" s="42"/>
      <c r="G5" s="43" t="s">
        <v>624</v>
      </c>
      <c r="H5" s="43"/>
      <c r="I5" s="45"/>
      <c r="J5" s="45"/>
      <c r="K5" s="45"/>
      <c r="L5" s="44"/>
      <c r="M5" s="42"/>
      <c r="N5" s="42"/>
      <c r="O5" s="43" t="s">
        <v>662</v>
      </c>
      <c r="P5" s="43"/>
      <c r="Q5" s="45"/>
      <c r="R5" s="45"/>
      <c r="S5" s="45"/>
      <c r="T5" s="45"/>
    </row>
    <row r="6" spans="1:20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254</v>
      </c>
      <c r="G6" s="49" t="s">
        <v>88</v>
      </c>
      <c r="H6" s="326" t="s">
        <v>338</v>
      </c>
      <c r="I6" s="326" t="s">
        <v>90</v>
      </c>
      <c r="J6" s="327" t="s">
        <v>91</v>
      </c>
      <c r="K6" s="49" t="s">
        <v>342</v>
      </c>
      <c r="L6" s="50" t="s">
        <v>621</v>
      </c>
      <c r="M6" s="49" t="s">
        <v>86</v>
      </c>
      <c r="N6" s="49" t="s">
        <v>87</v>
      </c>
      <c r="O6" s="49" t="s">
        <v>254</v>
      </c>
      <c r="P6" s="49" t="s">
        <v>88</v>
      </c>
      <c r="Q6" s="326" t="s">
        <v>338</v>
      </c>
      <c r="R6" s="326" t="s">
        <v>90</v>
      </c>
      <c r="S6" s="327" t="s">
        <v>91</v>
      </c>
      <c r="T6" s="49" t="s">
        <v>342</v>
      </c>
    </row>
    <row r="7" spans="1:20">
      <c r="L7" s="53"/>
    </row>
    <row r="8" spans="1:20">
      <c r="A8" s="24" t="s">
        <v>45</v>
      </c>
      <c r="L8" s="53"/>
    </row>
    <row r="9" spans="1:20">
      <c r="A9" s="24" t="s">
        <v>559</v>
      </c>
      <c r="B9" s="189">
        <v>44186</v>
      </c>
      <c r="C9" s="47"/>
      <c r="D9" s="46"/>
      <c r="E9" s="46"/>
      <c r="F9" s="47"/>
      <c r="G9" s="73">
        <v>79542.3</v>
      </c>
      <c r="H9" s="188">
        <v>3059.32</v>
      </c>
      <c r="I9" s="188"/>
      <c r="J9" s="73">
        <v>0</v>
      </c>
      <c r="K9" s="73">
        <v>0</v>
      </c>
      <c r="L9" s="56"/>
      <c r="M9" s="46"/>
      <c r="N9" s="46"/>
      <c r="O9" s="315"/>
      <c r="P9" s="209">
        <f>+Q9*26.125</f>
        <v>82322.477050000016</v>
      </c>
      <c r="Q9" s="283">
        <f>3059.32*1.03</f>
        <v>3151.0996000000005</v>
      </c>
      <c r="R9" s="188"/>
      <c r="S9" s="73">
        <v>0</v>
      </c>
      <c r="T9" s="73">
        <v>0</v>
      </c>
    </row>
    <row r="10" spans="1:20">
      <c r="B10" s="189"/>
      <c r="C10" s="47"/>
      <c r="D10" s="36"/>
      <c r="F10" s="47"/>
      <c r="G10" s="73"/>
      <c r="H10" s="73"/>
      <c r="I10" s="73"/>
      <c r="J10" s="73"/>
      <c r="K10" s="73"/>
      <c r="L10" s="56"/>
      <c r="M10" s="36"/>
      <c r="O10" s="315"/>
      <c r="P10" s="209"/>
      <c r="Q10" s="209"/>
      <c r="R10" s="73"/>
      <c r="S10" s="73"/>
      <c r="T10" s="73"/>
    </row>
    <row r="11" spans="1:20">
      <c r="A11" s="24" t="s">
        <v>46</v>
      </c>
      <c r="B11" s="189"/>
      <c r="C11" s="47"/>
      <c r="D11" s="36"/>
      <c r="F11" s="47"/>
      <c r="G11" s="73"/>
      <c r="H11" s="73"/>
      <c r="I11" s="73"/>
      <c r="J11" s="73"/>
      <c r="K11" s="73"/>
      <c r="L11" s="56"/>
      <c r="M11" s="36"/>
      <c r="O11" s="315"/>
      <c r="P11" s="209"/>
      <c r="Q11" s="209"/>
      <c r="R11" s="73"/>
      <c r="S11" s="73"/>
      <c r="T11" s="73"/>
    </row>
    <row r="12" spans="1:20" hidden="1">
      <c r="A12" s="24" t="e">
        <f>CONCATENATE(#REF!,", ",#REF!)</f>
        <v>#REF!</v>
      </c>
      <c r="B12" s="189">
        <v>39062</v>
      </c>
      <c r="C12" s="47"/>
      <c r="D12" s="36"/>
      <c r="F12" s="47"/>
      <c r="G12" s="73"/>
      <c r="H12" s="73"/>
      <c r="I12" s="73"/>
      <c r="J12" s="73"/>
      <c r="K12" s="73"/>
      <c r="L12" s="56"/>
      <c r="M12" s="36"/>
      <c r="O12" s="315"/>
      <c r="P12" s="209"/>
      <c r="Q12" s="209"/>
      <c r="R12" s="73"/>
      <c r="S12" s="73"/>
      <c r="T12" s="73"/>
    </row>
    <row r="13" spans="1:20">
      <c r="B13" s="189"/>
      <c r="C13" s="47"/>
      <c r="D13" s="46"/>
      <c r="E13" s="46"/>
      <c r="F13" s="47"/>
      <c r="G13" s="73"/>
      <c r="H13" s="73"/>
      <c r="I13" s="73"/>
      <c r="J13" s="73"/>
      <c r="K13" s="73"/>
      <c r="L13" s="56"/>
      <c r="M13" s="46"/>
      <c r="N13" s="46"/>
      <c r="O13" s="315"/>
      <c r="P13" s="209"/>
      <c r="Q13" s="209"/>
      <c r="R13" s="73"/>
      <c r="S13" s="73"/>
      <c r="T13" s="73"/>
    </row>
    <row r="14" spans="1:20">
      <c r="A14" s="24" t="s">
        <v>693</v>
      </c>
      <c r="B14" s="189">
        <v>35479</v>
      </c>
      <c r="C14" s="47"/>
      <c r="D14" s="46" t="s">
        <v>95</v>
      </c>
      <c r="E14" s="42">
        <v>10</v>
      </c>
      <c r="F14" s="47">
        <v>35</v>
      </c>
      <c r="G14" s="332">
        <v>69376.06</v>
      </c>
      <c r="H14" s="188">
        <v>2668.31</v>
      </c>
      <c r="I14" s="73">
        <v>38.119999999999997</v>
      </c>
      <c r="J14" s="73">
        <v>2450</v>
      </c>
      <c r="K14" s="73">
        <v>1334.16</v>
      </c>
      <c r="L14" s="56"/>
      <c r="M14" s="46" t="s">
        <v>95</v>
      </c>
      <c r="N14" s="42">
        <v>10</v>
      </c>
      <c r="O14" s="315">
        <v>35</v>
      </c>
      <c r="P14" s="209">
        <f>+Q14*26.125</f>
        <v>69709.598750000005</v>
      </c>
      <c r="Q14" s="283">
        <v>2668.31</v>
      </c>
      <c r="R14" s="73">
        <v>38.119999999999997</v>
      </c>
      <c r="S14" s="73">
        <v>2450</v>
      </c>
      <c r="T14" s="73">
        <v>1334.16</v>
      </c>
    </row>
    <row r="15" spans="1:20">
      <c r="A15" s="24" t="s">
        <v>694</v>
      </c>
      <c r="B15" s="189">
        <v>42814</v>
      </c>
      <c r="C15" s="63"/>
      <c r="D15" s="65"/>
      <c r="E15" s="36"/>
      <c r="F15" s="47">
        <v>16</v>
      </c>
      <c r="G15" s="73">
        <v>17613.96</v>
      </c>
      <c r="H15" s="73">
        <v>677.46</v>
      </c>
      <c r="I15" s="73">
        <v>21.17</v>
      </c>
      <c r="J15" s="73">
        <v>0</v>
      </c>
      <c r="K15" s="73">
        <v>0</v>
      </c>
      <c r="L15" s="346"/>
      <c r="M15" s="65"/>
      <c r="N15" s="36"/>
      <c r="O15" s="315">
        <v>16</v>
      </c>
      <c r="P15" s="333">
        <f>21.81*16*52</f>
        <v>18145.919999999998</v>
      </c>
      <c r="Q15" s="209">
        <f>16*2*21.81</f>
        <v>697.92</v>
      </c>
      <c r="R15" s="73">
        <f>21.17*1.03</f>
        <v>21.805100000000003</v>
      </c>
      <c r="S15" s="73">
        <v>0</v>
      </c>
      <c r="T15" s="73">
        <v>0</v>
      </c>
    </row>
    <row r="16" spans="1:20">
      <c r="A16" s="24" t="s">
        <v>763</v>
      </c>
      <c r="B16" s="189"/>
      <c r="C16" s="63"/>
      <c r="D16" s="65"/>
      <c r="E16" s="36"/>
      <c r="F16" s="47"/>
      <c r="G16" s="73">
        <v>65512.9</v>
      </c>
      <c r="H16" s="73">
        <v>2519.73</v>
      </c>
      <c r="I16" s="73"/>
      <c r="J16" s="73"/>
      <c r="K16" s="73"/>
      <c r="L16" s="379"/>
      <c r="M16" s="65"/>
      <c r="N16" s="36"/>
      <c r="O16" s="315">
        <v>35</v>
      </c>
      <c r="P16" s="73">
        <v>65000</v>
      </c>
      <c r="Q16" s="209">
        <f>+P16/26.125</f>
        <v>2488.0382775119615</v>
      </c>
      <c r="R16" s="73">
        <f>2488.04/70</f>
        <v>35.543428571428571</v>
      </c>
      <c r="S16" s="73">
        <v>0</v>
      </c>
      <c r="T16" s="73">
        <v>0</v>
      </c>
    </row>
    <row r="17" spans="1:20">
      <c r="A17" s="24" t="s">
        <v>642</v>
      </c>
      <c r="B17" s="59"/>
      <c r="C17" s="36"/>
      <c r="D17" s="36"/>
      <c r="E17" s="36"/>
      <c r="F17" s="47">
        <v>15</v>
      </c>
      <c r="G17" s="73">
        <v>13634.4</v>
      </c>
      <c r="H17" s="73">
        <v>524.4</v>
      </c>
      <c r="I17" s="73">
        <v>17.48</v>
      </c>
      <c r="J17" s="73">
        <v>0</v>
      </c>
      <c r="K17" s="73">
        <v>0</v>
      </c>
      <c r="L17" s="347"/>
      <c r="M17" s="36"/>
      <c r="N17" s="36"/>
      <c r="O17" s="315">
        <v>15</v>
      </c>
      <c r="P17" s="209">
        <f>+Q17*26.125</f>
        <v>14107.5</v>
      </c>
      <c r="Q17" s="73">
        <f>18*30</f>
        <v>540</v>
      </c>
      <c r="R17" s="73">
        <v>18</v>
      </c>
      <c r="S17" s="73">
        <v>0</v>
      </c>
      <c r="T17" s="73">
        <v>0</v>
      </c>
    </row>
    <row r="18" spans="1:20">
      <c r="A18" s="24" t="s">
        <v>641</v>
      </c>
      <c r="B18" s="59"/>
      <c r="C18" s="36"/>
      <c r="D18" s="36"/>
      <c r="E18" s="36"/>
      <c r="F18" s="47">
        <v>35</v>
      </c>
      <c r="G18" s="73">
        <v>45883.08</v>
      </c>
      <c r="H18" s="73">
        <v>1764.73</v>
      </c>
      <c r="I18" s="73">
        <v>25.21</v>
      </c>
      <c r="J18" s="73">
        <v>0</v>
      </c>
      <c r="K18" s="73">
        <v>0</v>
      </c>
      <c r="L18" s="347"/>
      <c r="M18" s="36"/>
      <c r="N18" s="36"/>
      <c r="O18" s="315">
        <v>35</v>
      </c>
      <c r="P18" s="209">
        <f>+Q18*26.125</f>
        <v>47492.637499999997</v>
      </c>
      <c r="Q18" s="73">
        <f>25.97*70</f>
        <v>1817.8999999999999</v>
      </c>
      <c r="R18" s="73">
        <f>25.21*1.03</f>
        <v>25.9663</v>
      </c>
      <c r="S18" s="73">
        <v>0</v>
      </c>
      <c r="T18" s="73">
        <v>0</v>
      </c>
    </row>
    <row r="19" spans="1:20">
      <c r="B19" s="59"/>
      <c r="C19" s="36"/>
      <c r="D19" s="36"/>
      <c r="E19" s="36"/>
      <c r="F19" s="36"/>
      <c r="L19" s="347"/>
      <c r="M19" s="36"/>
      <c r="N19" s="36"/>
      <c r="O19" s="260"/>
      <c r="P19" s="73"/>
      <c r="Q19" s="73"/>
      <c r="R19" s="73"/>
      <c r="S19" s="73"/>
      <c r="T19" s="73"/>
    </row>
    <row r="20" spans="1:20">
      <c r="A20" s="40" t="s">
        <v>96</v>
      </c>
      <c r="B20" s="42"/>
      <c r="L20" s="53"/>
    </row>
    <row r="21" spans="1:20">
      <c r="A21" s="24" t="s">
        <v>45</v>
      </c>
      <c r="B21" s="42"/>
      <c r="G21" s="36">
        <f>ROUNDUP(G9,0)</f>
        <v>79543</v>
      </c>
      <c r="L21" s="53"/>
      <c r="P21" s="36">
        <f>ROUNDUP(P9,0)</f>
        <v>82323</v>
      </c>
    </row>
    <row r="22" spans="1:20">
      <c r="A22" s="24" t="s">
        <v>46</v>
      </c>
      <c r="B22" s="42"/>
      <c r="G22" s="36">
        <f>ROUNDUP(SUM(G14:G18),0)</f>
        <v>212021</v>
      </c>
      <c r="L22" s="53"/>
      <c r="P22" s="36">
        <f>ROUNDUP(SUM(P14:P18),0)</f>
        <v>214456</v>
      </c>
    </row>
    <row r="23" spans="1:20">
      <c r="A23" s="24" t="s">
        <v>91</v>
      </c>
      <c r="B23" s="42"/>
      <c r="G23" s="36">
        <v>2450</v>
      </c>
      <c r="L23" s="53"/>
      <c r="P23" s="36">
        <f>+S9+S12+S13+S14</f>
        <v>2450</v>
      </c>
    </row>
    <row r="24" spans="1:20">
      <c r="A24" s="24" t="s">
        <v>342</v>
      </c>
      <c r="B24" s="42"/>
      <c r="G24" s="54">
        <f>ROUNDUP(SUM(K9:K14),0)</f>
        <v>1335</v>
      </c>
      <c r="L24" s="53"/>
      <c r="P24" s="54">
        <f>ROUNDUP(SUM(T9:T14),0)</f>
        <v>1335</v>
      </c>
    </row>
    <row r="25" spans="1:20">
      <c r="A25" s="24" t="s">
        <v>52</v>
      </c>
      <c r="B25" s="42"/>
      <c r="G25" s="54">
        <v>0</v>
      </c>
      <c r="L25" s="53"/>
      <c r="P25" s="36">
        <f>ROUNDUP(P14*0.02+T14*0.02,0)</f>
        <v>1421</v>
      </c>
    </row>
    <row r="26" spans="1:20">
      <c r="B26" s="42"/>
      <c r="G26" s="54"/>
      <c r="L26" s="53"/>
      <c r="P26" s="54"/>
    </row>
    <row r="27" spans="1:20">
      <c r="A27" s="42" t="s">
        <v>337</v>
      </c>
      <c r="B27" s="42"/>
      <c r="G27" s="186">
        <f>SUM(G21:G25)</f>
        <v>295349</v>
      </c>
      <c r="L27" s="53"/>
      <c r="P27" s="186">
        <f>SUM(P21:P25)</f>
        <v>301985</v>
      </c>
    </row>
    <row r="28" spans="1:20">
      <c r="B28" s="59"/>
      <c r="C28" s="36"/>
      <c r="D28" s="36"/>
      <c r="E28" s="36"/>
      <c r="F28" s="36"/>
      <c r="G28" s="47"/>
      <c r="L28" s="36"/>
      <c r="M28" s="36"/>
      <c r="N28" s="36"/>
      <c r="O28" s="36"/>
      <c r="P28" s="47"/>
    </row>
    <row r="29" spans="1:20">
      <c r="B29" s="59"/>
      <c r="C29" s="36"/>
      <c r="D29" s="36"/>
      <c r="E29" s="36"/>
      <c r="F29" s="36"/>
      <c r="G29" s="47"/>
      <c r="L29" s="36"/>
      <c r="M29" s="36"/>
      <c r="N29" s="36"/>
      <c r="O29" s="36"/>
      <c r="P29" s="47"/>
    </row>
    <row r="30" spans="1:20">
      <c r="B30" s="59"/>
      <c r="C30" s="36"/>
      <c r="D30" s="36"/>
      <c r="E30" s="36"/>
      <c r="F30" s="36"/>
      <c r="G30" s="60" t="s">
        <v>626</v>
      </c>
      <c r="O30" s="60" t="s">
        <v>666</v>
      </c>
    </row>
    <row r="31" spans="1:20">
      <c r="B31" s="59"/>
      <c r="C31" s="36"/>
      <c r="D31" s="36"/>
      <c r="E31" s="36"/>
      <c r="F31" s="36"/>
      <c r="G31" s="60" t="s">
        <v>625</v>
      </c>
      <c r="O31" s="60" t="s">
        <v>664</v>
      </c>
    </row>
    <row r="32" spans="1:20">
      <c r="B32" s="59"/>
      <c r="C32" s="36"/>
      <c r="D32" s="36"/>
      <c r="E32" s="36"/>
      <c r="F32" s="36"/>
      <c r="G32" s="313" t="s">
        <v>97</v>
      </c>
      <c r="H32" s="62"/>
      <c r="I32" s="62"/>
      <c r="J32" s="62"/>
      <c r="L32" s="62"/>
      <c r="M32" s="62"/>
      <c r="N32" s="62"/>
      <c r="O32" s="313" t="s">
        <v>97</v>
      </c>
      <c r="P32" s="62"/>
    </row>
    <row r="33" spans="2:15">
      <c r="B33" s="59"/>
      <c r="C33" s="36"/>
      <c r="D33" s="36"/>
      <c r="E33" s="36"/>
      <c r="F33" s="36"/>
      <c r="G33" s="60"/>
      <c r="O33" s="60"/>
    </row>
    <row r="34" spans="2:15">
      <c r="B34" s="59"/>
      <c r="C34" s="36"/>
      <c r="D34" s="36"/>
      <c r="E34" s="36"/>
      <c r="F34" s="36"/>
    </row>
    <row r="35" spans="2:15">
      <c r="B35" s="59"/>
      <c r="C35" s="36"/>
      <c r="D35" s="36"/>
      <c r="E35" s="36"/>
      <c r="F35" s="36"/>
    </row>
    <row r="36" spans="2:15">
      <c r="B36" s="59"/>
      <c r="C36" s="36"/>
      <c r="D36" s="36"/>
      <c r="E36" s="36"/>
      <c r="F36" s="36"/>
    </row>
    <row r="37" spans="2:15">
      <c r="B37" s="59"/>
      <c r="C37" s="36"/>
      <c r="D37" s="36"/>
      <c r="E37" s="36"/>
      <c r="F37" s="36"/>
    </row>
    <row r="38" spans="2:15">
      <c r="B38" s="59"/>
      <c r="C38" s="36"/>
      <c r="D38" s="36"/>
      <c r="E38" s="36"/>
      <c r="F38" s="36"/>
    </row>
    <row r="40" spans="2:15">
      <c r="B40" s="42"/>
    </row>
    <row r="41" spans="2:15">
      <c r="B41" s="42"/>
    </row>
    <row r="42" spans="2:15">
      <c r="B42" s="42"/>
    </row>
    <row r="47" spans="2:15">
      <c r="B47" s="59"/>
    </row>
  </sheetData>
  <phoneticPr fontId="0" type="noConversion"/>
  <printOptions horizontalCentered="1" gridLines="1"/>
  <pageMargins left="0.45" right="0.35" top="0.75" bottom="1" header="0.3" footer="0.3"/>
  <pageSetup scale="67" orientation="landscape" r:id="rId1"/>
  <headerFooter>
    <oddFooter>&amp;L&amp;D FY25 Budget&amp;CPage 41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"/>
  <sheetViews>
    <sheetView workbookViewId="0">
      <selection activeCell="H23" sqref="H23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4" width="14.42578125" style="24" customWidth="1"/>
    <col min="5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1"/>
      <c r="E1" s="373"/>
      <c r="F1" s="1"/>
      <c r="G1" s="39"/>
      <c r="H1" s="39"/>
      <c r="I1" s="1"/>
    </row>
    <row r="2" spans="1:9">
      <c r="A2" s="30" t="s">
        <v>433</v>
      </c>
    </row>
    <row r="3" spans="1:9">
      <c r="A3" s="30" t="s">
        <v>496</v>
      </c>
      <c r="D3" s="6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376">
        <v>27803</v>
      </c>
      <c r="E7" s="376">
        <v>28979</v>
      </c>
      <c r="F7" s="201">
        <v>29829</v>
      </c>
      <c r="G7" s="201">
        <f>'Pers 543'!N14</f>
        <v>30872</v>
      </c>
      <c r="H7" s="201">
        <v>30872</v>
      </c>
      <c r="I7" s="201"/>
    </row>
    <row r="8" spans="1:9">
      <c r="A8" s="35" t="s">
        <v>10</v>
      </c>
      <c r="B8" s="24" t="s">
        <v>52</v>
      </c>
      <c r="D8" s="376">
        <v>0</v>
      </c>
      <c r="E8" s="376"/>
      <c r="F8" s="201">
        <v>0</v>
      </c>
      <c r="G8" s="201">
        <f>'Pers 543'!N15</f>
        <v>0</v>
      </c>
      <c r="H8" s="201">
        <v>0</v>
      </c>
      <c r="I8" s="201"/>
    </row>
    <row r="9" spans="1:9">
      <c r="A9" s="35"/>
      <c r="D9" s="377">
        <f t="shared" ref="D9:I9" si="0">SUM(D7:D8)</f>
        <v>27803</v>
      </c>
      <c r="E9" s="377">
        <f t="shared" si="0"/>
        <v>28979</v>
      </c>
      <c r="F9" s="295">
        <f t="shared" si="0"/>
        <v>29829</v>
      </c>
      <c r="G9" s="295">
        <f t="shared" si="0"/>
        <v>30872</v>
      </c>
      <c r="H9" s="295">
        <f>SUM(H7:H8)</f>
        <v>30872</v>
      </c>
      <c r="I9" s="295">
        <f t="shared" si="0"/>
        <v>0</v>
      </c>
    </row>
    <row r="10" spans="1:9">
      <c r="A10" s="35"/>
      <c r="B10" s="30"/>
      <c r="D10" s="376"/>
      <c r="E10" s="376"/>
      <c r="F10" s="201"/>
      <c r="G10" s="201"/>
      <c r="H10" s="201"/>
      <c r="I10" s="201"/>
    </row>
    <row r="11" spans="1:9">
      <c r="A11" s="30" t="s">
        <v>44</v>
      </c>
      <c r="D11" s="376"/>
      <c r="E11" s="376"/>
      <c r="F11" s="201"/>
      <c r="G11" s="201"/>
      <c r="H11" s="201"/>
      <c r="I11" s="201"/>
    </row>
    <row r="12" spans="1:9">
      <c r="A12" s="35" t="s">
        <v>16</v>
      </c>
      <c r="B12" s="24" t="s">
        <v>56</v>
      </c>
      <c r="D12" s="376">
        <v>0</v>
      </c>
      <c r="E12" s="376">
        <v>0</v>
      </c>
      <c r="F12" s="201">
        <v>400</v>
      </c>
      <c r="G12" s="71">
        <v>1400</v>
      </c>
      <c r="H12" s="201">
        <v>1400</v>
      </c>
      <c r="I12" s="201"/>
    </row>
    <row r="13" spans="1:9">
      <c r="A13" s="35" t="s">
        <v>20</v>
      </c>
      <c r="B13" s="24" t="s">
        <v>59</v>
      </c>
      <c r="D13" s="376">
        <v>0</v>
      </c>
      <c r="E13" s="376"/>
      <c r="F13" s="201">
        <v>0</v>
      </c>
      <c r="G13" s="71">
        <v>0</v>
      </c>
      <c r="H13" s="201">
        <v>0</v>
      </c>
      <c r="I13" s="201"/>
    </row>
    <row r="14" spans="1:9">
      <c r="A14" s="35"/>
      <c r="D14" s="377">
        <f t="shared" ref="D14:I14" si="1">SUM(D12:D13)</f>
        <v>0</v>
      </c>
      <c r="E14" s="377">
        <f t="shared" si="1"/>
        <v>0</v>
      </c>
      <c r="F14" s="295">
        <f t="shared" si="1"/>
        <v>400</v>
      </c>
      <c r="G14" s="355">
        <f t="shared" si="1"/>
        <v>1400</v>
      </c>
      <c r="H14" s="295">
        <f>SUM(H12:H13)</f>
        <v>1400</v>
      </c>
      <c r="I14" s="295">
        <f t="shared" si="1"/>
        <v>0</v>
      </c>
    </row>
    <row r="15" spans="1:9">
      <c r="A15" s="35"/>
      <c r="D15" s="376"/>
      <c r="E15" s="376"/>
      <c r="F15" s="201"/>
      <c r="G15" s="71"/>
      <c r="H15" s="201"/>
      <c r="I15" s="201"/>
    </row>
    <row r="16" spans="1:9">
      <c r="A16" s="30" t="s">
        <v>43</v>
      </c>
      <c r="B16" s="24" t="s">
        <v>0</v>
      </c>
      <c r="D16" s="376"/>
      <c r="E16" s="376"/>
      <c r="F16" s="201"/>
      <c r="G16" s="71"/>
      <c r="H16" s="201"/>
      <c r="I16" s="201"/>
    </row>
    <row r="17" spans="1:59">
      <c r="A17" s="35" t="s">
        <v>21</v>
      </c>
      <c r="B17" s="24" t="s">
        <v>60</v>
      </c>
      <c r="D17" s="387">
        <v>515</v>
      </c>
      <c r="E17" s="387">
        <v>162</v>
      </c>
      <c r="F17" s="296">
        <v>300</v>
      </c>
      <c r="G17" s="301">
        <v>300</v>
      </c>
      <c r="H17" s="296">
        <v>300</v>
      </c>
      <c r="I17" s="296"/>
    </row>
    <row r="18" spans="1:59">
      <c r="A18" s="35"/>
      <c r="D18" s="377">
        <f t="shared" ref="D18:I18" si="2">SUM(D17:D17)</f>
        <v>515</v>
      </c>
      <c r="E18" s="377">
        <f t="shared" si="2"/>
        <v>162</v>
      </c>
      <c r="F18" s="295">
        <f t="shared" si="2"/>
        <v>300</v>
      </c>
      <c r="G18" s="355">
        <f t="shared" si="2"/>
        <v>300</v>
      </c>
      <c r="H18" s="295">
        <f>SUM(H17:H17)</f>
        <v>300</v>
      </c>
      <c r="I18" s="295">
        <f t="shared" si="2"/>
        <v>0</v>
      </c>
    </row>
    <row r="19" spans="1:59">
      <c r="A19" s="35"/>
      <c r="D19" s="376"/>
      <c r="E19" s="376"/>
      <c r="F19" s="201"/>
      <c r="G19" s="71"/>
      <c r="H19" s="201"/>
      <c r="I19" s="201"/>
    </row>
    <row r="20" spans="1:59">
      <c r="A20" s="30" t="s">
        <v>39</v>
      </c>
      <c r="D20" s="376"/>
      <c r="E20" s="376"/>
      <c r="F20" s="201"/>
      <c r="G20" s="71"/>
      <c r="H20" s="201"/>
      <c r="I20" s="201"/>
    </row>
    <row r="21" spans="1:59">
      <c r="A21" s="35" t="s">
        <v>31</v>
      </c>
      <c r="B21" s="24" t="s">
        <v>70</v>
      </c>
      <c r="D21" s="376">
        <v>0</v>
      </c>
      <c r="E21" s="376">
        <v>0</v>
      </c>
      <c r="F21" s="201">
        <v>150</v>
      </c>
      <c r="G21" s="71">
        <v>150</v>
      </c>
      <c r="H21" s="201">
        <v>150</v>
      </c>
      <c r="I21" s="201"/>
    </row>
    <row r="22" spans="1:59">
      <c r="A22" s="74">
        <v>5730</v>
      </c>
      <c r="B22" s="24" t="s">
        <v>71</v>
      </c>
      <c r="D22" s="376">
        <v>0</v>
      </c>
      <c r="E22" s="376">
        <v>0</v>
      </c>
      <c r="F22" s="201">
        <v>100</v>
      </c>
      <c r="G22" s="71">
        <v>100</v>
      </c>
      <c r="H22" s="201">
        <v>100</v>
      </c>
      <c r="I22" s="201"/>
    </row>
    <row r="23" spans="1:59">
      <c r="A23" s="35"/>
      <c r="D23" s="377">
        <f t="shared" ref="D23:I23" si="3">SUM(D21:D22)</f>
        <v>0</v>
      </c>
      <c r="E23" s="377">
        <f t="shared" si="3"/>
        <v>0</v>
      </c>
      <c r="F23" s="295">
        <f t="shared" si="3"/>
        <v>250</v>
      </c>
      <c r="G23" s="355">
        <f t="shared" si="3"/>
        <v>250</v>
      </c>
      <c r="H23" s="295">
        <f>SUM(H21:H22)</f>
        <v>250</v>
      </c>
      <c r="I23" s="295">
        <f t="shared" si="3"/>
        <v>0</v>
      </c>
    </row>
    <row r="24" spans="1:59">
      <c r="A24" s="35"/>
      <c r="D24" s="68"/>
      <c r="E24" s="68"/>
      <c r="F24" s="67"/>
      <c r="G24" s="67"/>
      <c r="H24" s="67"/>
      <c r="I24" s="67"/>
    </row>
    <row r="25" spans="1:59">
      <c r="D25" s="67"/>
      <c r="E25" s="68"/>
      <c r="F25" s="67"/>
      <c r="G25" s="67"/>
      <c r="H25" s="67"/>
      <c r="I25" s="67"/>
    </row>
    <row r="26" spans="1:59">
      <c r="A26" s="30" t="s">
        <v>40</v>
      </c>
      <c r="D26" s="210">
        <f t="shared" ref="D26:I26" si="4">+D9+D18+D23+D14</f>
        <v>28318</v>
      </c>
      <c r="E26" s="210">
        <f t="shared" si="4"/>
        <v>29141</v>
      </c>
      <c r="F26" s="210">
        <f t="shared" si="4"/>
        <v>30779</v>
      </c>
      <c r="G26" s="210">
        <f t="shared" si="4"/>
        <v>32822</v>
      </c>
      <c r="H26" s="210">
        <f t="shared" si="4"/>
        <v>32822</v>
      </c>
      <c r="I26" s="202">
        <f t="shared" si="4"/>
        <v>0</v>
      </c>
    </row>
    <row r="27" spans="1:59" customFormat="1">
      <c r="E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</row>
    <row r="28" spans="1:59" customFormat="1">
      <c r="D28" s="312"/>
      <c r="E28" s="375"/>
      <c r="F28" s="185"/>
      <c r="G28" s="202"/>
      <c r="AT28" s="91"/>
      <c r="AU28" s="91"/>
      <c r="AV28" s="91"/>
      <c r="AW28" s="91"/>
    </row>
    <row r="29" spans="1:59">
      <c r="A29" s="62"/>
      <c r="B29" s="62"/>
      <c r="C29" s="62"/>
    </row>
    <row r="31" spans="1:59">
      <c r="I31" s="36"/>
    </row>
    <row r="32" spans="1:59">
      <c r="F32" s="36"/>
      <c r="G32" s="36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42</oddFooter>
  </headerFooter>
  <ignoredErrors>
    <ignoredError sqref="A23:A25 A7 A8:A17 A18:A20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>
      <selection activeCell="C9" sqref="C9"/>
    </sheetView>
  </sheetViews>
  <sheetFormatPr defaultColWidth="9" defaultRowHeight="15"/>
  <cols>
    <col min="1" max="1" width="16" style="24" customWidth="1"/>
    <col min="2" max="5" width="9" style="24"/>
    <col min="6" max="6" width="11.28515625" style="24" customWidth="1"/>
    <col min="7" max="7" width="0" style="24" hidden="1" customWidth="1"/>
    <col min="8" max="10" width="9" style="24"/>
    <col min="11" max="13" width="6.5703125" style="24" customWidth="1"/>
    <col min="14" max="14" width="11.5703125" style="24" customWidth="1"/>
    <col min="15" max="15" width="11.5703125" style="24" hidden="1" customWidth="1"/>
    <col min="16" max="18" width="11.5703125" style="24" customWidth="1"/>
    <col min="19" max="16384" width="9" style="24"/>
  </cols>
  <sheetData>
    <row r="1" spans="1:19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>
      <c r="A2" s="40" t="s">
        <v>42</v>
      </c>
      <c r="B2" s="41" t="s">
        <v>240</v>
      </c>
      <c r="K2" s="334"/>
    </row>
    <row r="3" spans="1:19">
      <c r="B3" s="42"/>
      <c r="K3" s="53"/>
    </row>
    <row r="4" spans="1:19">
      <c r="B4" s="42"/>
      <c r="K4" s="53"/>
    </row>
    <row r="5" spans="1:19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9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9">
      <c r="K7" s="53"/>
    </row>
    <row r="8" spans="1:19">
      <c r="A8" s="24" t="s">
        <v>45</v>
      </c>
      <c r="K8" s="53"/>
    </row>
    <row r="9" spans="1:19">
      <c r="A9" s="24" t="s">
        <v>560</v>
      </c>
      <c r="B9" s="189">
        <v>43178</v>
      </c>
      <c r="C9" s="42"/>
      <c r="D9" s="42"/>
      <c r="E9" s="42"/>
      <c r="F9" s="36">
        <v>29829</v>
      </c>
      <c r="G9" s="36">
        <v>1147.25</v>
      </c>
      <c r="H9" s="36"/>
      <c r="I9" s="65">
        <v>0</v>
      </c>
      <c r="J9" s="36">
        <v>0</v>
      </c>
      <c r="K9" s="44"/>
      <c r="L9" s="42"/>
      <c r="M9" s="42"/>
      <c r="N9" s="36">
        <f>+O9*26.125</f>
        <v>30871.063437500001</v>
      </c>
      <c r="O9" s="36">
        <f>+G9*1.03</f>
        <v>1181.6675</v>
      </c>
      <c r="P9" s="36"/>
      <c r="Q9" s="65">
        <v>0</v>
      </c>
      <c r="R9" s="36">
        <v>0</v>
      </c>
    </row>
    <row r="10" spans="1:19">
      <c r="B10" s="59"/>
      <c r="K10" s="53"/>
    </row>
    <row r="11" spans="1:19">
      <c r="K11" s="53"/>
    </row>
    <row r="12" spans="1:19">
      <c r="K12" s="53"/>
    </row>
    <row r="13" spans="1:19">
      <c r="A13" s="40" t="s">
        <v>96</v>
      </c>
      <c r="B13" s="42"/>
      <c r="K13" s="53"/>
    </row>
    <row r="14" spans="1:19">
      <c r="A14" s="24" t="s">
        <v>45</v>
      </c>
      <c r="B14" s="42"/>
      <c r="F14" s="36">
        <f>ROUNDUP(F9,0)</f>
        <v>29829</v>
      </c>
      <c r="K14" s="53"/>
      <c r="N14" s="36">
        <f>ROUNDUP(N9,0)</f>
        <v>30872</v>
      </c>
    </row>
    <row r="15" spans="1:19">
      <c r="A15" s="24" t="s">
        <v>52</v>
      </c>
      <c r="B15" s="42"/>
      <c r="F15" s="54">
        <f>ROUND(J8+F10,0)</f>
        <v>0</v>
      </c>
      <c r="K15" s="53"/>
      <c r="N15" s="36">
        <v>0</v>
      </c>
    </row>
    <row r="16" spans="1:19">
      <c r="B16" s="42"/>
      <c r="F16" s="54"/>
      <c r="K16" s="53"/>
      <c r="N16" s="54"/>
    </row>
    <row r="17" spans="1:18">
      <c r="A17" s="42" t="s">
        <v>337</v>
      </c>
      <c r="B17" s="42"/>
      <c r="F17" s="186">
        <f>SUM(F14:F15)</f>
        <v>29829</v>
      </c>
      <c r="K17" s="53"/>
      <c r="N17" s="186">
        <f>SUM(N14:N15)</f>
        <v>30872</v>
      </c>
    </row>
    <row r="18" spans="1:18">
      <c r="B18" s="42"/>
    </row>
    <row r="20" spans="1:18">
      <c r="B20" s="42"/>
      <c r="F20" s="60" t="s">
        <v>626</v>
      </c>
      <c r="N20" s="60" t="s">
        <v>666</v>
      </c>
    </row>
    <row r="21" spans="1:18">
      <c r="B21" s="42"/>
      <c r="F21" s="60" t="s">
        <v>625</v>
      </c>
      <c r="N21" s="60" t="s">
        <v>664</v>
      </c>
    </row>
    <row r="22" spans="1:18">
      <c r="B22" s="42"/>
      <c r="F22" s="313" t="s">
        <v>97</v>
      </c>
      <c r="G22" s="62"/>
      <c r="H22" s="62"/>
      <c r="I22" s="62"/>
      <c r="K22" s="62"/>
      <c r="L22" s="62"/>
      <c r="M22" s="62"/>
      <c r="N22" s="313" t="s">
        <v>97</v>
      </c>
    </row>
    <row r="23" spans="1:18">
      <c r="B23" s="42"/>
    </row>
    <row r="24" spans="1:18">
      <c r="B24" s="42"/>
      <c r="F24" s="62" t="s">
        <v>245</v>
      </c>
      <c r="G24" s="62"/>
      <c r="H24" s="62"/>
      <c r="I24" s="62"/>
      <c r="J24" s="62"/>
      <c r="N24" s="62" t="s">
        <v>245</v>
      </c>
      <c r="O24" s="62"/>
      <c r="P24" s="62"/>
      <c r="Q24" s="62"/>
      <c r="R24" s="62"/>
    </row>
  </sheetData>
  <printOptions horizontalCentered="1" gridLines="1"/>
  <pageMargins left="0.45" right="0.35" top="0.75" bottom="1" header="0.3" footer="0.3"/>
  <pageSetup scale="83" orientation="landscape" r:id="rId1"/>
  <headerFooter>
    <oddFooter>&amp;L&amp;D FY25 Budget&amp;CPage 43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showWhiteSpace="0" topLeftCell="A10" workbookViewId="0">
      <selection activeCell="H27" sqref="H27:H31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434</v>
      </c>
    </row>
    <row r="3" spans="1:9">
      <c r="A3" s="30" t="s">
        <v>676</v>
      </c>
      <c r="D3" s="93"/>
      <c r="E3" s="93"/>
      <c r="F3" s="6"/>
      <c r="G3" s="6"/>
    </row>
    <row r="4" spans="1:9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5" spans="1:9">
      <c r="A5" s="34" t="s">
        <v>38</v>
      </c>
    </row>
    <row r="6" spans="1:9">
      <c r="A6" s="74" t="s">
        <v>1</v>
      </c>
      <c r="B6" s="24" t="s">
        <v>45</v>
      </c>
      <c r="D6" s="376">
        <v>76694</v>
      </c>
      <c r="E6" s="376">
        <v>79938</v>
      </c>
      <c r="F6" s="201">
        <v>82732</v>
      </c>
      <c r="G6" s="201">
        <f>'Pers 610'!P24</f>
        <v>82797</v>
      </c>
      <c r="H6" s="201">
        <v>82797</v>
      </c>
      <c r="I6" s="201"/>
    </row>
    <row r="7" spans="1:9">
      <c r="A7" s="74" t="s">
        <v>2</v>
      </c>
      <c r="B7" s="24" t="s">
        <v>46</v>
      </c>
      <c r="D7" s="376">
        <v>177128</v>
      </c>
      <c r="E7" s="376">
        <v>159828</v>
      </c>
      <c r="F7" s="201">
        <v>181088</v>
      </c>
      <c r="G7" s="201">
        <f>'Pers 610'!P25</f>
        <v>190417</v>
      </c>
      <c r="H7" s="201">
        <v>190417</v>
      </c>
      <c r="I7" s="201"/>
    </row>
    <row r="8" spans="1:9">
      <c r="A8" s="74">
        <v>5120</v>
      </c>
      <c r="B8" s="24" t="s">
        <v>757</v>
      </c>
      <c r="D8" s="376">
        <v>0</v>
      </c>
      <c r="E8" s="376">
        <v>0</v>
      </c>
      <c r="F8" s="201">
        <v>0</v>
      </c>
      <c r="G8" s="201">
        <v>3000</v>
      </c>
      <c r="H8" s="201">
        <v>3000</v>
      </c>
      <c r="I8" s="201"/>
    </row>
    <row r="9" spans="1:9">
      <c r="A9" s="74" t="s">
        <v>382</v>
      </c>
      <c r="B9" s="24" t="s">
        <v>91</v>
      </c>
      <c r="D9" s="376">
        <v>3477</v>
      </c>
      <c r="E9" s="376">
        <v>2462</v>
      </c>
      <c r="F9" s="201">
        <v>2962</v>
      </c>
      <c r="G9" s="201">
        <f>'Pers 610'!P27</f>
        <v>6250</v>
      </c>
      <c r="H9" s="201">
        <v>6250</v>
      </c>
      <c r="I9" s="201"/>
    </row>
    <row r="10" spans="1:9">
      <c r="A10" s="74">
        <v>5146</v>
      </c>
      <c r="B10" s="24" t="s">
        <v>49</v>
      </c>
      <c r="D10" s="376">
        <v>0</v>
      </c>
      <c r="E10" s="376">
        <v>0</v>
      </c>
      <c r="F10" s="201">
        <v>0</v>
      </c>
      <c r="G10" s="201">
        <v>5855</v>
      </c>
      <c r="H10" s="201">
        <v>5855</v>
      </c>
      <c r="I10" s="201"/>
    </row>
    <row r="11" spans="1:9">
      <c r="A11" s="74">
        <v>5192</v>
      </c>
      <c r="B11" s="24" t="s">
        <v>345</v>
      </c>
      <c r="D11" s="376">
        <v>13603</v>
      </c>
      <c r="E11" s="376">
        <v>0</v>
      </c>
      <c r="F11" s="201">
        <v>0</v>
      </c>
      <c r="G11" s="201">
        <v>0</v>
      </c>
      <c r="H11" s="201">
        <v>0</v>
      </c>
      <c r="I11" s="201"/>
    </row>
    <row r="12" spans="1:9">
      <c r="A12" s="74" t="s">
        <v>10</v>
      </c>
      <c r="B12" s="24" t="s">
        <v>52</v>
      </c>
      <c r="D12" s="376">
        <v>0</v>
      </c>
      <c r="E12" s="376">
        <v>0</v>
      </c>
      <c r="F12" s="201">
        <v>5433</v>
      </c>
      <c r="G12" s="201">
        <f>'Pers 610'!P29</f>
        <v>0</v>
      </c>
      <c r="H12" s="201">
        <v>0</v>
      </c>
      <c r="I12" s="201"/>
    </row>
    <row r="13" spans="1:9">
      <c r="A13" s="35"/>
      <c r="D13" s="377">
        <f t="shared" ref="D13:I13" si="0">SUM(D6:D12)</f>
        <v>270902</v>
      </c>
      <c r="E13" s="377">
        <f t="shared" si="0"/>
        <v>242228</v>
      </c>
      <c r="F13" s="295">
        <f t="shared" si="0"/>
        <v>272215</v>
      </c>
      <c r="G13" s="295">
        <f t="shared" si="0"/>
        <v>288319</v>
      </c>
      <c r="H13" s="295">
        <f>SUM(H6:H12)</f>
        <v>288319</v>
      </c>
      <c r="I13" s="295">
        <f t="shared" si="0"/>
        <v>0</v>
      </c>
    </row>
    <row r="14" spans="1:9">
      <c r="A14" s="30" t="s">
        <v>44</v>
      </c>
      <c r="D14" s="376"/>
      <c r="E14" s="376"/>
      <c r="F14" s="201"/>
      <c r="G14" s="201"/>
      <c r="H14" s="201"/>
      <c r="I14" s="201"/>
    </row>
    <row r="15" spans="1:9">
      <c r="A15" s="74" t="s">
        <v>11</v>
      </c>
      <c r="B15" s="24" t="s">
        <v>526</v>
      </c>
      <c r="D15" s="376">
        <v>0</v>
      </c>
      <c r="E15" s="376">
        <v>0</v>
      </c>
      <c r="F15" s="201">
        <v>0</v>
      </c>
      <c r="G15" s="201">
        <v>4000</v>
      </c>
      <c r="H15" s="201">
        <v>4000</v>
      </c>
      <c r="I15" s="201"/>
    </row>
    <row r="16" spans="1:9">
      <c r="A16" s="74">
        <v>5212</v>
      </c>
      <c r="B16" s="24" t="s">
        <v>525</v>
      </c>
      <c r="D16" s="376">
        <v>2318</v>
      </c>
      <c r="E16" s="376">
        <v>60</v>
      </c>
      <c r="F16" s="201">
        <v>0</v>
      </c>
      <c r="G16" s="201">
        <v>8000</v>
      </c>
      <c r="H16" s="201">
        <v>8000</v>
      </c>
      <c r="I16" s="201"/>
    </row>
    <row r="17" spans="1:59">
      <c r="A17" s="74">
        <v>5230</v>
      </c>
      <c r="B17" s="24" t="s">
        <v>527</v>
      </c>
      <c r="D17" s="376">
        <v>1551</v>
      </c>
      <c r="E17" s="376">
        <v>2826</v>
      </c>
      <c r="F17" s="201">
        <v>2000</v>
      </c>
      <c r="G17" s="201">
        <v>2000</v>
      </c>
      <c r="H17" s="201">
        <v>2000</v>
      </c>
      <c r="I17" s="201"/>
    </row>
    <row r="18" spans="1:59">
      <c r="A18" s="74" t="s">
        <v>13</v>
      </c>
      <c r="B18" s="24" t="s">
        <v>53</v>
      </c>
      <c r="D18" s="376">
        <v>3640</v>
      </c>
      <c r="E18" s="376">
        <v>2509</v>
      </c>
      <c r="F18" s="201">
        <v>4000</v>
      </c>
      <c r="G18" s="71">
        <v>6000</v>
      </c>
      <c r="H18" s="71">
        <v>6000</v>
      </c>
      <c r="I18" s="201"/>
    </row>
    <row r="19" spans="1:59">
      <c r="A19" s="74" t="s">
        <v>15</v>
      </c>
      <c r="B19" s="24" t="s">
        <v>55</v>
      </c>
      <c r="D19" s="376">
        <v>3731</v>
      </c>
      <c r="E19" s="376">
        <v>8789</v>
      </c>
      <c r="F19" s="201">
        <v>8000</v>
      </c>
      <c r="G19" s="71">
        <v>9000</v>
      </c>
      <c r="H19" s="71">
        <v>9000</v>
      </c>
      <c r="I19" s="201"/>
    </row>
    <row r="20" spans="1:59">
      <c r="A20" s="74" t="s">
        <v>15</v>
      </c>
      <c r="B20" s="24" t="s">
        <v>758</v>
      </c>
      <c r="D20" s="376">
        <v>0</v>
      </c>
      <c r="E20" s="376">
        <v>0</v>
      </c>
      <c r="F20" s="201">
        <v>5000</v>
      </c>
      <c r="G20" s="201">
        <v>5000</v>
      </c>
      <c r="H20" s="201">
        <v>5000</v>
      </c>
      <c r="I20" s="201"/>
    </row>
    <row r="21" spans="1:59">
      <c r="A21" s="35"/>
      <c r="D21" s="377">
        <f t="shared" ref="D21:I21" si="1">SUM(D15:D20)</f>
        <v>11240</v>
      </c>
      <c r="E21" s="377">
        <f t="shared" si="1"/>
        <v>14184</v>
      </c>
      <c r="F21" s="295">
        <f t="shared" si="1"/>
        <v>19000</v>
      </c>
      <c r="G21" s="295">
        <f t="shared" si="1"/>
        <v>34000</v>
      </c>
      <c r="H21" s="295">
        <f t="shared" ref="H21" si="2">SUM(H15:H20)</f>
        <v>34000</v>
      </c>
      <c r="I21" s="295">
        <f t="shared" si="1"/>
        <v>0</v>
      </c>
    </row>
    <row r="22" spans="1:59">
      <c r="A22" s="35"/>
      <c r="D22" s="376"/>
      <c r="E22" s="376"/>
      <c r="F22" s="201"/>
      <c r="G22" s="201"/>
      <c r="H22" s="201"/>
      <c r="I22" s="201"/>
    </row>
    <row r="23" spans="1:59">
      <c r="A23" s="35" t="s">
        <v>16</v>
      </c>
      <c r="B23" s="24" t="s">
        <v>56</v>
      </c>
      <c r="D23" s="376">
        <v>20170</v>
      </c>
      <c r="E23" s="376">
        <v>22567</v>
      </c>
      <c r="F23" s="201">
        <v>24000</v>
      </c>
      <c r="G23" s="201">
        <v>26500</v>
      </c>
      <c r="H23" s="201">
        <v>26500</v>
      </c>
      <c r="I23" s="201"/>
    </row>
    <row r="24" spans="1:59">
      <c r="A24" s="35" t="s">
        <v>18</v>
      </c>
      <c r="B24" s="24" t="s">
        <v>58</v>
      </c>
      <c r="D24" s="376">
        <v>0</v>
      </c>
      <c r="E24" s="376">
        <v>0</v>
      </c>
      <c r="F24" s="201">
        <v>0</v>
      </c>
      <c r="G24" s="201">
        <v>0</v>
      </c>
      <c r="H24" s="201">
        <v>0</v>
      </c>
      <c r="I24" s="201"/>
    </row>
    <row r="25" spans="1:59">
      <c r="A25" s="35"/>
      <c r="D25" s="377">
        <f t="shared" ref="D25:I25" si="3">SUM(D23:D24)</f>
        <v>20170</v>
      </c>
      <c r="E25" s="377">
        <f t="shared" si="3"/>
        <v>22567</v>
      </c>
      <c r="F25" s="295">
        <f t="shared" si="3"/>
        <v>24000</v>
      </c>
      <c r="G25" s="295">
        <f t="shared" si="3"/>
        <v>26500</v>
      </c>
      <c r="H25" s="295">
        <f t="shared" ref="H25" si="4">SUM(H23:H24)</f>
        <v>26500</v>
      </c>
      <c r="I25" s="295">
        <f t="shared" si="3"/>
        <v>0</v>
      </c>
    </row>
    <row r="26" spans="1:59">
      <c r="A26" s="30" t="s">
        <v>43</v>
      </c>
      <c r="B26" s="24" t="s">
        <v>0</v>
      </c>
      <c r="D26" s="376"/>
      <c r="E26" s="376"/>
      <c r="F26" s="201" t="s">
        <v>0</v>
      </c>
      <c r="G26" s="201" t="s">
        <v>0</v>
      </c>
      <c r="H26" s="201" t="s">
        <v>0</v>
      </c>
      <c r="I26" s="201" t="s">
        <v>0</v>
      </c>
    </row>
    <row r="27" spans="1:59">
      <c r="A27" s="35" t="s">
        <v>21</v>
      </c>
      <c r="B27" s="24" t="s">
        <v>60</v>
      </c>
      <c r="D27" s="376">
        <v>2041</v>
      </c>
      <c r="E27" s="376">
        <v>3734</v>
      </c>
      <c r="F27" s="201">
        <v>2500</v>
      </c>
      <c r="G27" s="201">
        <v>3000</v>
      </c>
      <c r="H27" s="201">
        <v>3000</v>
      </c>
      <c r="I27" s="201"/>
    </row>
    <row r="28" spans="1:59">
      <c r="A28" s="35" t="s">
        <v>22</v>
      </c>
      <c r="B28" s="24" t="s">
        <v>61</v>
      </c>
      <c r="D28" s="376">
        <v>3018</v>
      </c>
      <c r="E28" s="376">
        <v>56</v>
      </c>
      <c r="F28" s="201">
        <v>500</v>
      </c>
      <c r="G28" s="201">
        <v>500</v>
      </c>
      <c r="H28" s="201">
        <v>500</v>
      </c>
      <c r="I28" s="201"/>
    </row>
    <row r="29" spans="1:59">
      <c r="A29" s="35" t="s">
        <v>23</v>
      </c>
      <c r="B29" s="24" t="s">
        <v>62</v>
      </c>
      <c r="D29" s="376">
        <v>2972</v>
      </c>
      <c r="E29" s="376">
        <v>237</v>
      </c>
      <c r="F29" s="201">
        <v>500</v>
      </c>
      <c r="G29" s="201">
        <v>500</v>
      </c>
      <c r="H29" s="201">
        <v>500</v>
      </c>
      <c r="I29" s="201"/>
    </row>
    <row r="30" spans="1:59">
      <c r="A30" s="35" t="s">
        <v>28</v>
      </c>
      <c r="B30" s="24" t="s">
        <v>407</v>
      </c>
      <c r="D30" s="376">
        <v>37576</v>
      </c>
      <c r="E30" s="376">
        <v>51180</v>
      </c>
      <c r="F30" s="201">
        <v>50000</v>
      </c>
      <c r="G30" s="201">
        <v>54100</v>
      </c>
      <c r="H30" s="201">
        <v>54100</v>
      </c>
      <c r="I30" s="201"/>
    </row>
    <row r="31" spans="1:59">
      <c r="A31" s="74">
        <v>5710</v>
      </c>
      <c r="B31" s="24" t="s">
        <v>553</v>
      </c>
      <c r="D31" s="376">
        <v>1341</v>
      </c>
      <c r="E31" s="376">
        <v>0</v>
      </c>
      <c r="F31" s="376">
        <v>1000</v>
      </c>
      <c r="G31" s="376">
        <v>1000</v>
      </c>
      <c r="H31" s="376">
        <v>1000</v>
      </c>
      <c r="I31" s="201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</row>
    <row r="32" spans="1:59">
      <c r="A32" s="35"/>
      <c r="D32" s="377">
        <f t="shared" ref="D32:I32" si="5">SUM(D27:D31)</f>
        <v>46948</v>
      </c>
      <c r="E32" s="377">
        <f t="shared" si="5"/>
        <v>55207</v>
      </c>
      <c r="F32" s="295">
        <f t="shared" si="5"/>
        <v>54500</v>
      </c>
      <c r="G32" s="295">
        <f t="shared" si="5"/>
        <v>59100</v>
      </c>
      <c r="H32" s="295">
        <f t="shared" si="5"/>
        <v>59100</v>
      </c>
      <c r="I32" s="295">
        <f t="shared" si="5"/>
        <v>0</v>
      </c>
      <c r="AT32" s="62"/>
      <c r="AU32" s="62"/>
      <c r="AV32" s="62"/>
      <c r="AW32" s="62"/>
    </row>
    <row r="33" spans="1:11">
      <c r="A33" s="35"/>
      <c r="D33" s="68"/>
      <c r="E33" s="68"/>
      <c r="F33" s="67"/>
      <c r="G33" s="67"/>
      <c r="H33" s="67"/>
      <c r="I33" s="67"/>
    </row>
    <row r="34" spans="1:11">
      <c r="D34" s="68"/>
      <c r="E34" s="68"/>
      <c r="F34" s="67"/>
      <c r="G34" s="67"/>
      <c r="H34" s="67"/>
      <c r="I34" s="67"/>
    </row>
    <row r="35" spans="1:11">
      <c r="A35" s="30" t="s">
        <v>40</v>
      </c>
      <c r="D35" s="210">
        <f t="shared" ref="D35:I35" si="6">+D32+D25+D13+D21</f>
        <v>349260</v>
      </c>
      <c r="E35" s="210">
        <f t="shared" si="6"/>
        <v>334186</v>
      </c>
      <c r="F35" s="210">
        <f t="shared" si="6"/>
        <v>369715</v>
      </c>
      <c r="G35" s="202">
        <f t="shared" si="6"/>
        <v>407919</v>
      </c>
      <c r="H35" s="202">
        <f t="shared" si="6"/>
        <v>407919</v>
      </c>
      <c r="I35" s="202">
        <f t="shared" si="6"/>
        <v>0</v>
      </c>
    </row>
    <row r="36" spans="1:11" customFormat="1">
      <c r="D36" s="91"/>
      <c r="E36" s="91"/>
    </row>
    <row r="37" spans="1:11" customFormat="1">
      <c r="D37" s="372"/>
      <c r="E37" s="375"/>
      <c r="F37" s="185"/>
      <c r="G37" s="202"/>
    </row>
    <row r="38" spans="1:11" customFormat="1">
      <c r="D38" s="91"/>
      <c r="E38" s="91"/>
      <c r="F38" s="255"/>
      <c r="G38" s="251"/>
    </row>
    <row r="39" spans="1:11" customFormat="1">
      <c r="D39" s="91"/>
      <c r="E39" s="91"/>
      <c r="H39" s="388"/>
      <c r="I39" s="91"/>
      <c r="J39" s="91"/>
      <c r="K39" s="91"/>
    </row>
    <row r="40" spans="1:11">
      <c r="H40" s="376"/>
      <c r="I40" s="62"/>
      <c r="J40" s="62"/>
      <c r="K40" s="62"/>
    </row>
    <row r="41" spans="1:11">
      <c r="H41" s="376"/>
      <c r="I41" s="62"/>
      <c r="J41" s="62"/>
      <c r="K41" s="62"/>
    </row>
    <row r="42" spans="1:11">
      <c r="H42" s="376"/>
      <c r="I42" s="62"/>
      <c r="J42" s="62"/>
      <c r="K42" s="62"/>
    </row>
    <row r="43" spans="1:11">
      <c r="H43" s="376"/>
      <c r="I43" s="62"/>
      <c r="J43" s="62"/>
      <c r="K43" s="62"/>
    </row>
    <row r="44" spans="1:11">
      <c r="H44" s="376"/>
      <c r="I44" s="62"/>
      <c r="J44" s="62"/>
      <c r="K44" s="62"/>
    </row>
    <row r="45" spans="1:11">
      <c r="H45" s="376"/>
      <c r="I45" s="62"/>
      <c r="J45" s="62"/>
      <c r="K45" s="62"/>
    </row>
  </sheetData>
  <phoneticPr fontId="0" type="noConversion"/>
  <printOptions horizontalCentered="1"/>
  <pageMargins left="0.45" right="0.35" top="0.75" bottom="1" header="0.3" footer="0.3"/>
  <pageSetup scale="90" orientation="landscape" r:id="rId1"/>
  <headerFooter>
    <oddFooter>&amp;L&amp;D FY25 Budget&amp;CPage 44</oddFooter>
  </headerFooter>
  <ignoredErrors>
    <ignoredError sqref="A6:A7 A12:A15 A32 A20:A30 A18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workbookViewId="0">
      <selection activeCell="Q5" sqref="Q5"/>
    </sheetView>
  </sheetViews>
  <sheetFormatPr defaultColWidth="9" defaultRowHeight="15"/>
  <cols>
    <col min="1" max="1" width="15" style="24" customWidth="1"/>
    <col min="2" max="2" width="9" style="24" customWidth="1"/>
    <col min="3" max="3" width="5.42578125" style="36" customWidth="1"/>
    <col min="4" max="4" width="5.5703125" style="24" customWidth="1"/>
    <col min="5" max="5" width="6.28515625" style="24" customWidth="1"/>
    <col min="6" max="6" width="5" style="24" customWidth="1"/>
    <col min="7" max="7" width="14" style="24" customWidth="1"/>
    <col min="8" max="8" width="0" style="24" hidden="1" customWidth="1"/>
    <col min="9" max="11" width="9" style="24"/>
    <col min="12" max="15" width="5.5703125" style="24" customWidth="1"/>
    <col min="16" max="16" width="11.5703125" style="24" customWidth="1"/>
    <col min="17" max="17" width="11.5703125" style="24" hidden="1" customWidth="1"/>
    <col min="18" max="20" width="11.5703125" style="24" customWidth="1"/>
    <col min="21" max="16384" width="9" style="24"/>
  </cols>
  <sheetData>
    <row r="1" spans="1:20" s="2" customFormat="1">
      <c r="A1" s="360" t="str">
        <f>+Summary!A1</f>
        <v>Fiscal Year 2025 Budget Worksheet</v>
      </c>
      <c r="B1" s="361"/>
      <c r="C1" s="367"/>
      <c r="D1" s="361"/>
      <c r="E1" s="361"/>
      <c r="F1" s="361"/>
      <c r="G1" s="361"/>
      <c r="H1" s="361"/>
      <c r="I1" s="361"/>
      <c r="J1" s="361"/>
      <c r="K1" s="361"/>
      <c r="L1" s="367"/>
      <c r="M1" s="361"/>
      <c r="N1" s="361"/>
      <c r="O1" s="361"/>
      <c r="P1" s="361"/>
      <c r="Q1" s="361"/>
      <c r="R1" s="361"/>
      <c r="S1" s="361"/>
      <c r="T1" s="361"/>
    </row>
    <row r="2" spans="1:20">
      <c r="A2" s="40" t="s">
        <v>42</v>
      </c>
      <c r="B2" s="41" t="s">
        <v>111</v>
      </c>
      <c r="L2" s="348"/>
    </row>
    <row r="3" spans="1:20">
      <c r="B3" s="42"/>
      <c r="L3" s="347"/>
    </row>
    <row r="4" spans="1:20">
      <c r="B4" s="42" t="s">
        <v>481</v>
      </c>
      <c r="C4" s="44"/>
      <c r="D4" s="42"/>
      <c r="E4" s="42"/>
      <c r="F4" s="42"/>
      <c r="G4" s="43" t="s">
        <v>624</v>
      </c>
      <c r="H4" s="43"/>
      <c r="I4" s="45"/>
      <c r="J4" s="45"/>
      <c r="K4" s="45"/>
      <c r="L4" s="44"/>
      <c r="M4" s="42"/>
      <c r="N4" s="42"/>
      <c r="O4" s="43" t="s">
        <v>662</v>
      </c>
      <c r="P4" s="43"/>
      <c r="Q4" s="45"/>
      <c r="R4" s="45"/>
      <c r="S4" s="45"/>
      <c r="T4" s="45"/>
    </row>
    <row r="5" spans="1:20" s="48" customFormat="1">
      <c r="B5" s="49" t="s">
        <v>480</v>
      </c>
      <c r="C5" s="50" t="s">
        <v>620</v>
      </c>
      <c r="D5" s="49" t="s">
        <v>86</v>
      </c>
      <c r="E5" s="49" t="s">
        <v>87</v>
      </c>
      <c r="F5" s="49" t="s">
        <v>254</v>
      </c>
      <c r="G5" s="49" t="s">
        <v>88</v>
      </c>
      <c r="H5" s="326" t="s">
        <v>338</v>
      </c>
      <c r="I5" s="326" t="s">
        <v>90</v>
      </c>
      <c r="J5" s="327" t="s">
        <v>91</v>
      </c>
      <c r="K5" s="49" t="s">
        <v>342</v>
      </c>
      <c r="L5" s="50" t="s">
        <v>620</v>
      </c>
      <c r="M5" s="49" t="s">
        <v>86</v>
      </c>
      <c r="N5" s="49" t="s">
        <v>87</v>
      </c>
      <c r="O5" s="49" t="s">
        <v>254</v>
      </c>
      <c r="P5" s="49" t="s">
        <v>88</v>
      </c>
      <c r="Q5" s="326" t="s">
        <v>338</v>
      </c>
      <c r="R5" s="326" t="s">
        <v>90</v>
      </c>
      <c r="S5" s="327" t="s">
        <v>91</v>
      </c>
      <c r="T5" s="49" t="s">
        <v>342</v>
      </c>
    </row>
    <row r="6" spans="1:20">
      <c r="L6" s="347"/>
    </row>
    <row r="7" spans="1:20">
      <c r="A7" s="24" t="s">
        <v>45</v>
      </c>
      <c r="L7" s="347"/>
    </row>
    <row r="8" spans="1:20">
      <c r="A8" s="24" t="s">
        <v>681</v>
      </c>
      <c r="B8" s="189"/>
      <c r="C8" s="47"/>
      <c r="D8" s="42"/>
      <c r="E8" s="42"/>
      <c r="F8" s="42">
        <v>35</v>
      </c>
      <c r="G8" s="73">
        <v>82732</v>
      </c>
      <c r="H8" s="188">
        <v>3182</v>
      </c>
      <c r="I8" s="188"/>
      <c r="J8" s="190">
        <v>0</v>
      </c>
      <c r="K8" s="190">
        <v>0</v>
      </c>
      <c r="L8" s="56"/>
      <c r="M8" s="42" t="s">
        <v>339</v>
      </c>
      <c r="N8" s="42" t="s">
        <v>339</v>
      </c>
      <c r="O8" s="42"/>
      <c r="P8" s="73">
        <f>+Q8*26.125</f>
        <v>82796.071049999999</v>
      </c>
      <c r="Q8" s="188">
        <f>3076.92*1.03</f>
        <v>3169.2276000000002</v>
      </c>
      <c r="R8" s="188"/>
      <c r="S8" s="190">
        <v>0</v>
      </c>
      <c r="T8" s="190">
        <v>0</v>
      </c>
    </row>
    <row r="9" spans="1:20">
      <c r="B9" s="189"/>
      <c r="C9" s="47"/>
      <c r="D9" s="42"/>
      <c r="E9" s="42"/>
      <c r="F9" s="42"/>
      <c r="L9" s="56"/>
      <c r="M9" s="42"/>
      <c r="N9" s="42"/>
      <c r="O9" s="42"/>
    </row>
    <row r="10" spans="1:20">
      <c r="A10" s="24" t="s">
        <v>46</v>
      </c>
      <c r="B10" s="189"/>
      <c r="C10" s="47"/>
      <c r="D10" s="42"/>
      <c r="E10" s="42"/>
      <c r="F10" s="42"/>
      <c r="L10" s="56"/>
      <c r="M10" s="42"/>
      <c r="N10" s="42"/>
      <c r="O10" s="42"/>
    </row>
    <row r="11" spans="1:20">
      <c r="B11" s="189"/>
      <c r="C11" s="66" t="s">
        <v>0</v>
      </c>
      <c r="D11" s="42" t="s">
        <v>0</v>
      </c>
      <c r="E11" s="57" t="s">
        <v>0</v>
      </c>
      <c r="F11" s="57"/>
      <c r="L11" s="349" t="s">
        <v>0</v>
      </c>
      <c r="M11" s="42" t="s">
        <v>0</v>
      </c>
      <c r="N11" s="57" t="s">
        <v>0</v>
      </c>
      <c r="O11" s="57"/>
    </row>
    <row r="12" spans="1:20" s="69" customFormat="1">
      <c r="A12" s="69" t="s">
        <v>667</v>
      </c>
      <c r="B12" s="280">
        <v>37229</v>
      </c>
      <c r="C12" s="282"/>
      <c r="D12" s="262"/>
      <c r="E12" s="281"/>
      <c r="F12" s="281">
        <v>13</v>
      </c>
      <c r="G12" s="333">
        <v>19928.48</v>
      </c>
      <c r="H12" s="262"/>
      <c r="I12" s="283">
        <v>29.48</v>
      </c>
      <c r="J12" s="209">
        <v>0</v>
      </c>
      <c r="K12" s="209">
        <v>0</v>
      </c>
      <c r="L12" s="350"/>
      <c r="M12" s="262"/>
      <c r="N12" s="281">
        <v>6</v>
      </c>
      <c r="O12" s="281">
        <v>13</v>
      </c>
      <c r="P12" s="332">
        <f>31.28*13*52.2</f>
        <v>21226.608</v>
      </c>
      <c r="Q12" s="283"/>
      <c r="R12" s="283">
        <v>31.28</v>
      </c>
      <c r="S12" s="209">
        <v>0</v>
      </c>
      <c r="T12" s="209">
        <v>0</v>
      </c>
    </row>
    <row r="13" spans="1:20" s="69" customFormat="1">
      <c r="A13" s="69" t="s">
        <v>130</v>
      </c>
      <c r="B13" s="280">
        <v>36801</v>
      </c>
      <c r="C13" s="282"/>
      <c r="D13" s="262"/>
      <c r="E13" s="281">
        <v>2</v>
      </c>
      <c r="F13" s="281">
        <v>30</v>
      </c>
      <c r="G13" s="333">
        <v>41121.599999999999</v>
      </c>
      <c r="H13" s="262"/>
      <c r="I13" s="283">
        <v>26.36</v>
      </c>
      <c r="J13" s="209">
        <v>0</v>
      </c>
      <c r="K13" s="209">
        <v>0</v>
      </c>
      <c r="L13" s="350"/>
      <c r="M13" s="262"/>
      <c r="N13" s="281">
        <v>3</v>
      </c>
      <c r="O13" s="281">
        <v>30</v>
      </c>
      <c r="P13" s="332">
        <f>27.94*30*52.2</f>
        <v>43754.040000000008</v>
      </c>
      <c r="Q13" s="283"/>
      <c r="R13" s="283">
        <v>27.94</v>
      </c>
      <c r="S13" s="209">
        <v>0</v>
      </c>
      <c r="T13" s="209">
        <v>0</v>
      </c>
    </row>
    <row r="14" spans="1:20" s="69" customFormat="1">
      <c r="A14" s="24" t="s">
        <v>668</v>
      </c>
      <c r="B14" s="189">
        <v>39422</v>
      </c>
      <c r="C14" s="47"/>
      <c r="D14" s="42"/>
      <c r="E14" s="42">
        <v>5</v>
      </c>
      <c r="F14" s="42">
        <v>17</v>
      </c>
      <c r="G14" s="332">
        <v>20323.16</v>
      </c>
      <c r="H14" s="42"/>
      <c r="I14" s="188">
        <v>22.99</v>
      </c>
      <c r="J14" s="73">
        <v>500</v>
      </c>
      <c r="K14" s="73">
        <v>0</v>
      </c>
      <c r="L14" s="56"/>
      <c r="M14" s="42"/>
      <c r="N14" s="42">
        <v>6</v>
      </c>
      <c r="O14" s="42">
        <v>17</v>
      </c>
      <c r="P14" s="332">
        <f>27.22*17*52.2</f>
        <v>24155.028000000002</v>
      </c>
      <c r="Q14" s="283"/>
      <c r="R14" s="283">
        <v>27.22</v>
      </c>
      <c r="S14" s="73">
        <v>1450</v>
      </c>
      <c r="T14" s="73">
        <v>0</v>
      </c>
    </row>
    <row r="15" spans="1:20" s="69" customFormat="1">
      <c r="A15" s="69" t="s">
        <v>669</v>
      </c>
      <c r="B15" s="280">
        <v>36039</v>
      </c>
      <c r="C15" s="282"/>
      <c r="D15" s="262"/>
      <c r="E15" s="281">
        <v>5</v>
      </c>
      <c r="F15" s="281">
        <v>30</v>
      </c>
      <c r="G15" s="333">
        <v>46909.2</v>
      </c>
      <c r="H15" s="262"/>
      <c r="I15" s="283">
        <v>30.07</v>
      </c>
      <c r="J15" s="209">
        <v>1850</v>
      </c>
      <c r="K15" s="209">
        <v>0</v>
      </c>
      <c r="L15" s="350"/>
      <c r="M15" s="262"/>
      <c r="N15" s="281">
        <v>6</v>
      </c>
      <c r="O15" s="281">
        <v>30</v>
      </c>
      <c r="P15" s="332">
        <f>31.28*30*52.2</f>
        <v>48984.48000000001</v>
      </c>
      <c r="Q15" s="283"/>
      <c r="R15" s="283">
        <v>31.28</v>
      </c>
      <c r="S15" s="209">
        <v>2400</v>
      </c>
      <c r="T15" s="209">
        <v>0</v>
      </c>
    </row>
    <row r="16" spans="1:20">
      <c r="A16" s="24" t="s">
        <v>670</v>
      </c>
      <c r="B16" s="189">
        <v>39449</v>
      </c>
      <c r="C16" s="66"/>
      <c r="D16" s="42"/>
      <c r="E16" s="57">
        <v>5</v>
      </c>
      <c r="F16" s="57">
        <v>12</v>
      </c>
      <c r="G16" s="332">
        <v>14345.76</v>
      </c>
      <c r="H16" s="42"/>
      <c r="I16" s="188">
        <v>22.99</v>
      </c>
      <c r="J16" s="73">
        <v>612</v>
      </c>
      <c r="K16" s="73">
        <v>0</v>
      </c>
      <c r="L16" s="349"/>
      <c r="M16" s="42"/>
      <c r="N16" s="57">
        <v>6</v>
      </c>
      <c r="O16" s="57">
        <v>12</v>
      </c>
      <c r="P16" s="332">
        <f>12*27.22*52.2</f>
        <v>17050.608</v>
      </c>
      <c r="Q16" s="283"/>
      <c r="R16" s="283">
        <v>27.22</v>
      </c>
      <c r="S16" s="73">
        <v>2400</v>
      </c>
      <c r="T16" s="73">
        <v>0</v>
      </c>
    </row>
    <row r="17" spans="1:20">
      <c r="A17" s="24" t="s">
        <v>671</v>
      </c>
      <c r="B17" s="189">
        <v>41431</v>
      </c>
      <c r="C17" s="66"/>
      <c r="D17" s="42"/>
      <c r="E17" s="57"/>
      <c r="F17" s="57">
        <v>5</v>
      </c>
      <c r="G17" s="332">
        <v>5200</v>
      </c>
      <c r="H17" s="42"/>
      <c r="I17" s="73">
        <v>20</v>
      </c>
      <c r="J17" s="73">
        <v>0</v>
      </c>
      <c r="K17" s="73">
        <v>0</v>
      </c>
      <c r="L17" s="349"/>
      <c r="M17" s="42"/>
      <c r="N17" s="57"/>
      <c r="O17" s="57"/>
      <c r="P17" s="332">
        <f>5*52.2*20.6</f>
        <v>5376.6</v>
      </c>
      <c r="Q17" s="283"/>
      <c r="R17" s="283">
        <v>20.6</v>
      </c>
      <c r="S17" s="73">
        <v>0</v>
      </c>
      <c r="T17" s="73">
        <v>0</v>
      </c>
    </row>
    <row r="18" spans="1:20">
      <c r="A18" s="24" t="s">
        <v>672</v>
      </c>
      <c r="B18" s="189">
        <v>41380</v>
      </c>
      <c r="C18" s="47"/>
      <c r="D18" s="42"/>
      <c r="E18" s="42"/>
      <c r="F18" s="42">
        <v>5</v>
      </c>
      <c r="G18" s="332">
        <v>5200</v>
      </c>
      <c r="H18" s="42"/>
      <c r="I18" s="73">
        <v>20</v>
      </c>
      <c r="J18" s="73">
        <v>0</v>
      </c>
      <c r="K18" s="73">
        <v>0</v>
      </c>
      <c r="L18" s="56"/>
      <c r="M18" s="42"/>
      <c r="N18" s="42"/>
      <c r="O18" s="42"/>
      <c r="P18" s="332">
        <f>20.6*5*52.2</f>
        <v>5376.6</v>
      </c>
      <c r="Q18" s="283"/>
      <c r="R18" s="283">
        <v>20.6</v>
      </c>
      <c r="S18" s="73">
        <v>0</v>
      </c>
      <c r="T18" s="73">
        <v>0</v>
      </c>
    </row>
    <row r="19" spans="1:20">
      <c r="A19" s="24" t="s">
        <v>688</v>
      </c>
      <c r="B19" s="189"/>
      <c r="C19" s="47"/>
      <c r="D19" s="42"/>
      <c r="E19" s="42">
        <v>5</v>
      </c>
      <c r="F19" s="42">
        <v>20</v>
      </c>
      <c r="G19" s="332">
        <v>28059.200000000001</v>
      </c>
      <c r="H19" s="42"/>
      <c r="I19" s="73">
        <v>26.98</v>
      </c>
      <c r="J19" s="73">
        <v>0</v>
      </c>
      <c r="K19" s="73">
        <v>0</v>
      </c>
      <c r="L19" s="56"/>
      <c r="M19" s="42"/>
      <c r="N19" s="42">
        <v>6</v>
      </c>
      <c r="O19" s="42">
        <v>15</v>
      </c>
      <c r="P19" s="332">
        <f>31.28*15*52.2</f>
        <v>24492.240000000005</v>
      </c>
      <c r="Q19" s="42"/>
      <c r="R19" s="283">
        <v>31.28</v>
      </c>
      <c r="S19" s="73">
        <v>0</v>
      </c>
      <c r="T19" s="73">
        <v>0</v>
      </c>
    </row>
    <row r="20" spans="1:20">
      <c r="B20" s="189"/>
      <c r="C20" s="47"/>
      <c r="D20" s="42"/>
      <c r="E20" s="42"/>
      <c r="F20" s="42"/>
      <c r="G20" s="332"/>
      <c r="H20" s="42"/>
      <c r="I20" s="73"/>
      <c r="J20" s="73"/>
      <c r="K20" s="73"/>
      <c r="L20" s="56"/>
      <c r="M20" s="42"/>
      <c r="N20" s="42"/>
      <c r="O20" s="42"/>
      <c r="P20" s="332"/>
      <c r="Q20" s="42"/>
      <c r="R20" s="73"/>
      <c r="S20" s="73"/>
      <c r="T20" s="73"/>
    </row>
    <row r="21" spans="1:20">
      <c r="A21" s="24" t="s">
        <v>369</v>
      </c>
      <c r="B21" s="42"/>
      <c r="C21" s="47"/>
      <c r="G21" s="28"/>
      <c r="I21" s="188"/>
      <c r="L21" s="56"/>
      <c r="P21" s="28"/>
      <c r="R21" s="188"/>
    </row>
    <row r="22" spans="1:20">
      <c r="B22" s="42"/>
      <c r="C22" s="47"/>
      <c r="G22" s="73"/>
      <c r="L22" s="56"/>
      <c r="P22" s="73"/>
    </row>
    <row r="23" spans="1:20">
      <c r="A23" s="40" t="s">
        <v>96</v>
      </c>
      <c r="B23" s="42"/>
      <c r="C23" s="47"/>
      <c r="L23" s="56"/>
    </row>
    <row r="24" spans="1:20">
      <c r="A24" s="24" t="s">
        <v>45</v>
      </c>
      <c r="B24" s="42"/>
      <c r="C24" s="47"/>
      <c r="G24" s="36">
        <f>ROUNDUP(+G8,0)</f>
        <v>82732</v>
      </c>
      <c r="L24" s="56"/>
      <c r="P24" s="36">
        <f>ROUNDUP(+P8,0)</f>
        <v>82797</v>
      </c>
    </row>
    <row r="25" spans="1:20">
      <c r="A25" s="24" t="s">
        <v>46</v>
      </c>
      <c r="B25" s="42"/>
      <c r="G25" s="36">
        <f>ROUNDUP(SUM(G12:G19),0)</f>
        <v>181088</v>
      </c>
      <c r="L25" s="347"/>
      <c r="P25" s="36">
        <f>ROUNDUP(SUM(P11:P21),0)</f>
        <v>190417</v>
      </c>
    </row>
    <row r="26" spans="1:20">
      <c r="A26" s="24" t="s">
        <v>109</v>
      </c>
      <c r="B26" s="42"/>
      <c r="G26" s="36">
        <v>0</v>
      </c>
      <c r="L26" s="347"/>
      <c r="P26" s="36">
        <v>3000</v>
      </c>
    </row>
    <row r="27" spans="1:20">
      <c r="A27" s="24" t="s">
        <v>91</v>
      </c>
      <c r="B27" s="42"/>
      <c r="G27" s="36">
        <f>SUM(J8:J19)</f>
        <v>2962</v>
      </c>
      <c r="L27" s="347"/>
      <c r="P27" s="36">
        <f>ROUNDUP(SUM(S8:S20),0)</f>
        <v>6250</v>
      </c>
    </row>
    <row r="28" spans="1:20">
      <c r="A28" s="24" t="s">
        <v>49</v>
      </c>
      <c r="B28" s="42"/>
      <c r="G28" s="36">
        <v>0</v>
      </c>
      <c r="L28" s="347"/>
      <c r="P28" s="36">
        <f>18*52*31.28*0.2</f>
        <v>5855.6160000000009</v>
      </c>
    </row>
    <row r="29" spans="1:20">
      <c r="A29" s="24" t="s">
        <v>52</v>
      </c>
      <c r="B29" s="42"/>
      <c r="G29" s="54">
        <v>5433</v>
      </c>
      <c r="L29" s="347"/>
      <c r="P29" s="36">
        <v>0</v>
      </c>
    </row>
    <row r="30" spans="1:20">
      <c r="B30" s="42"/>
      <c r="G30" s="54"/>
      <c r="L30" s="347"/>
      <c r="P30" s="54"/>
    </row>
    <row r="31" spans="1:20">
      <c r="A31" s="42" t="s">
        <v>337</v>
      </c>
      <c r="B31" s="42"/>
      <c r="G31" s="186">
        <f>SUM(G24:G29)</f>
        <v>272215</v>
      </c>
      <c r="L31" s="347"/>
      <c r="P31" s="186">
        <f>SUM(P24:P29)</f>
        <v>288319.61599999998</v>
      </c>
    </row>
    <row r="32" spans="1:20">
      <c r="B32" s="42"/>
      <c r="L32" s="36"/>
    </row>
    <row r="33" spans="2:17">
      <c r="B33" s="42"/>
      <c r="C33" s="63"/>
      <c r="D33" s="62"/>
      <c r="E33" s="62"/>
      <c r="F33" s="62"/>
      <c r="L33" s="63"/>
      <c r="M33" s="62"/>
      <c r="N33" s="62"/>
      <c r="O33" s="62"/>
    </row>
    <row r="34" spans="2:17">
      <c r="B34" s="42"/>
      <c r="C34" s="63"/>
      <c r="D34" s="62"/>
      <c r="E34" s="62"/>
      <c r="F34" s="62"/>
      <c r="G34" s="60" t="s">
        <v>626</v>
      </c>
      <c r="O34" s="60" t="s">
        <v>666</v>
      </c>
      <c r="Q34" s="62"/>
    </row>
    <row r="35" spans="2:17">
      <c r="B35" s="42"/>
      <c r="G35" s="60" t="s">
        <v>625</v>
      </c>
      <c r="O35" s="60" t="s">
        <v>664</v>
      </c>
    </row>
    <row r="36" spans="2:17">
      <c r="B36" s="42"/>
      <c r="G36" s="313" t="s">
        <v>97</v>
      </c>
      <c r="H36" s="62"/>
      <c r="I36" s="62"/>
      <c r="J36" s="62"/>
      <c r="L36" s="62"/>
      <c r="M36" s="62"/>
      <c r="N36" s="62"/>
      <c r="O36" s="313" t="s">
        <v>97</v>
      </c>
      <c r="P36" s="62"/>
    </row>
    <row r="39" spans="2:17">
      <c r="B39" s="59"/>
    </row>
  </sheetData>
  <phoneticPr fontId="0" type="noConversion"/>
  <printOptions horizontalCentered="1" gridLines="1"/>
  <pageMargins left="0.45" right="0.35" top="0.75" bottom="1" header="0.3" footer="0.3"/>
  <pageSetup scale="83" orientation="landscape" r:id="rId1"/>
  <headerFooter>
    <oddFooter>&amp;L&amp;D FY25 Budget&amp;CPage 45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4"/>
  <sheetViews>
    <sheetView workbookViewId="0">
      <selection activeCell="H18" sqref="H18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12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2">
      <c r="A2" s="30" t="s">
        <v>435</v>
      </c>
    </row>
    <row r="3" spans="1:12">
      <c r="A3" s="30" t="s">
        <v>590</v>
      </c>
      <c r="D3" s="93"/>
      <c r="E3" s="93"/>
      <c r="F3" s="6"/>
      <c r="G3" s="6"/>
    </row>
    <row r="4" spans="1:12" ht="43.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12">
      <c r="A6" s="34" t="s">
        <v>38</v>
      </c>
    </row>
    <row r="7" spans="1:12">
      <c r="A7" s="35" t="s">
        <v>1</v>
      </c>
      <c r="B7" s="24" t="s">
        <v>45</v>
      </c>
      <c r="D7" s="376">
        <v>6125</v>
      </c>
      <c r="E7" s="376">
        <v>6400</v>
      </c>
      <c r="F7" s="201">
        <v>6695</v>
      </c>
      <c r="G7" s="201">
        <f>'Pers 650'!N15</f>
        <v>7030</v>
      </c>
      <c r="H7" s="201">
        <v>7030</v>
      </c>
      <c r="I7" s="201"/>
      <c r="L7" s="426"/>
    </row>
    <row r="8" spans="1:12">
      <c r="A8" s="35" t="s">
        <v>4</v>
      </c>
      <c r="B8" s="24" t="s">
        <v>47</v>
      </c>
      <c r="D8" s="376">
        <v>39717</v>
      </c>
      <c r="E8" s="376">
        <v>45895</v>
      </c>
      <c r="F8" s="201">
        <v>47272</v>
      </c>
      <c r="G8" s="201">
        <f>'Pers 650'!N17</f>
        <v>49636</v>
      </c>
      <c r="H8" s="201">
        <v>49636</v>
      </c>
      <c r="I8" s="201"/>
    </row>
    <row r="9" spans="1:12">
      <c r="A9" s="35"/>
      <c r="D9" s="377">
        <f t="shared" ref="D9:I9" si="0">SUM(D7:D8)</f>
        <v>45842</v>
      </c>
      <c r="E9" s="377">
        <f t="shared" si="0"/>
        <v>52295</v>
      </c>
      <c r="F9" s="295">
        <f t="shared" si="0"/>
        <v>53967</v>
      </c>
      <c r="G9" s="355">
        <f t="shared" si="0"/>
        <v>56666</v>
      </c>
      <c r="H9" s="295">
        <f>SUM(H7:H8)</f>
        <v>56666</v>
      </c>
      <c r="I9" s="295">
        <f t="shared" si="0"/>
        <v>0</v>
      </c>
    </row>
    <row r="10" spans="1:12">
      <c r="A10" s="30" t="s">
        <v>44</v>
      </c>
      <c r="D10" s="376"/>
      <c r="E10" s="376"/>
      <c r="F10" s="201"/>
      <c r="G10" s="71"/>
      <c r="H10" s="201"/>
      <c r="I10" s="201"/>
    </row>
    <row r="11" spans="1:12">
      <c r="A11" s="35" t="s">
        <v>11</v>
      </c>
      <c r="B11" s="24" t="s">
        <v>526</v>
      </c>
      <c r="D11" s="376">
        <v>0</v>
      </c>
      <c r="E11" s="376">
        <v>0</v>
      </c>
      <c r="F11" s="201">
        <v>0</v>
      </c>
      <c r="G11" s="71">
        <v>0</v>
      </c>
      <c r="H11" s="201">
        <v>0</v>
      </c>
      <c r="I11" s="201"/>
    </row>
    <row r="12" spans="1:12">
      <c r="A12" s="35" t="s">
        <v>19</v>
      </c>
      <c r="B12" s="24" t="s">
        <v>555</v>
      </c>
      <c r="D12" s="376">
        <v>4177</v>
      </c>
      <c r="E12" s="376">
        <v>1708</v>
      </c>
      <c r="F12" s="201">
        <v>2575</v>
      </c>
      <c r="G12" s="71">
        <v>2704</v>
      </c>
      <c r="H12" s="201">
        <v>2704</v>
      </c>
      <c r="I12" s="201"/>
    </row>
    <row r="13" spans="1:12">
      <c r="A13" s="35"/>
      <c r="D13" s="377">
        <f t="shared" ref="D13:I13" si="1">SUM(D12:D12)</f>
        <v>4177</v>
      </c>
      <c r="E13" s="377">
        <f t="shared" si="1"/>
        <v>1708</v>
      </c>
      <c r="F13" s="295">
        <f t="shared" si="1"/>
        <v>2575</v>
      </c>
      <c r="G13" s="355">
        <f t="shared" si="1"/>
        <v>2704</v>
      </c>
      <c r="H13" s="295">
        <f>SUM(H12:H12)</f>
        <v>2704</v>
      </c>
      <c r="I13" s="295">
        <f t="shared" si="1"/>
        <v>0</v>
      </c>
    </row>
    <row r="14" spans="1:12">
      <c r="A14" s="30" t="s">
        <v>43</v>
      </c>
      <c r="B14" s="24" t="s">
        <v>0</v>
      </c>
      <c r="D14" s="376" t="s">
        <v>0</v>
      </c>
      <c r="E14" s="376" t="s">
        <v>0</v>
      </c>
      <c r="F14" s="201" t="s">
        <v>0</v>
      </c>
      <c r="G14" s="71" t="s">
        <v>0</v>
      </c>
      <c r="H14" s="201" t="s">
        <v>0</v>
      </c>
      <c r="I14" s="201" t="s">
        <v>0</v>
      </c>
    </row>
    <row r="15" spans="1:12">
      <c r="A15" s="35" t="s">
        <v>30</v>
      </c>
      <c r="B15" s="24" t="s">
        <v>69</v>
      </c>
      <c r="D15" s="376">
        <v>4362</v>
      </c>
      <c r="E15" s="376">
        <v>2091</v>
      </c>
      <c r="F15" s="201">
        <v>2575</v>
      </c>
      <c r="G15" s="71">
        <v>2704</v>
      </c>
      <c r="H15" s="201">
        <v>2704</v>
      </c>
      <c r="I15" s="201">
        <v>0</v>
      </c>
    </row>
    <row r="16" spans="1:12">
      <c r="A16" s="35"/>
      <c r="D16" s="377">
        <f t="shared" ref="D16:I16" si="2">SUM(D15)</f>
        <v>4362</v>
      </c>
      <c r="E16" s="377">
        <f t="shared" si="2"/>
        <v>2091</v>
      </c>
      <c r="F16" s="295">
        <f t="shared" si="2"/>
        <v>2575</v>
      </c>
      <c r="G16" s="355">
        <f t="shared" si="2"/>
        <v>2704</v>
      </c>
      <c r="H16" s="295">
        <f>SUM(H15)</f>
        <v>2704</v>
      </c>
      <c r="I16" s="295">
        <f t="shared" si="2"/>
        <v>0</v>
      </c>
    </row>
    <row r="17" spans="1:59">
      <c r="A17" s="35"/>
      <c r="D17" s="68"/>
      <c r="E17" s="68"/>
      <c r="F17" s="67"/>
      <c r="G17" s="81"/>
      <c r="H17" s="67"/>
      <c r="I17" s="67"/>
    </row>
    <row r="18" spans="1:59">
      <c r="D18" s="68"/>
      <c r="E18" s="68"/>
      <c r="F18" s="67"/>
      <c r="G18" s="81"/>
      <c r="H18" s="67"/>
      <c r="I18" s="67"/>
    </row>
    <row r="19" spans="1:59">
      <c r="A19" s="30" t="s">
        <v>40</v>
      </c>
      <c r="D19" s="210">
        <f t="shared" ref="D19:I19" si="3">+D16+D13+D9</f>
        <v>54381</v>
      </c>
      <c r="E19" s="210">
        <f t="shared" si="3"/>
        <v>56094</v>
      </c>
      <c r="F19" s="210">
        <f t="shared" si="3"/>
        <v>59117</v>
      </c>
      <c r="G19" s="210">
        <f t="shared" si="3"/>
        <v>62074</v>
      </c>
      <c r="H19" s="210">
        <f>+H16+H13+H9</f>
        <v>62074</v>
      </c>
      <c r="I19" s="210">
        <f t="shared" si="3"/>
        <v>0</v>
      </c>
    </row>
    <row r="20" spans="1:59">
      <c r="A20" s="30"/>
      <c r="B20" s="30"/>
      <c r="D20" s="378"/>
      <c r="E20" s="378"/>
      <c r="F20" s="38"/>
      <c r="G20" s="356"/>
      <c r="H20" s="38"/>
      <c r="I20" s="38"/>
    </row>
    <row r="21" spans="1:59" customFormat="1">
      <c r="D21" s="372"/>
      <c r="E21" s="375"/>
      <c r="F21" s="24"/>
      <c r="G21" s="189"/>
      <c r="H21" s="36"/>
      <c r="I21" s="24"/>
      <c r="J21" s="24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</row>
    <row r="22" spans="1:59">
      <c r="A22" s="62"/>
      <c r="B22" s="62"/>
      <c r="C22" s="62"/>
      <c r="G22" s="189"/>
      <c r="I22" s="399"/>
      <c r="J22" s="399"/>
      <c r="AT22" s="62"/>
      <c r="AU22" s="62"/>
      <c r="AV22" s="62"/>
      <c r="AW22" s="62"/>
    </row>
    <row r="23" spans="1:59">
      <c r="G23" s="189"/>
      <c r="I23" s="399"/>
      <c r="J23" s="399"/>
    </row>
    <row r="24" spans="1:59">
      <c r="J24" s="399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46</oddFooter>
  </headerFooter>
  <ignoredErrors>
    <ignoredError sqref="A7 A12:A13 A10:A11 A14:A16 A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>
      <selection activeCell="S16" sqref="S16"/>
    </sheetView>
  </sheetViews>
  <sheetFormatPr defaultColWidth="1.42578125" defaultRowHeight="15"/>
  <cols>
    <col min="1" max="1" width="18.140625" style="24" customWidth="1"/>
    <col min="2" max="2" width="13.42578125" style="42" bestFit="1" customWidth="1"/>
    <col min="3" max="4" width="5" style="24" hidden="1" customWidth="1"/>
    <col min="5" max="5" width="6" style="24" customWidth="1"/>
    <col min="6" max="6" width="5" style="24" customWidth="1"/>
    <col min="7" max="7" width="12" style="24" customWidth="1"/>
    <col min="8" max="8" width="10.5703125" style="24" hidden="1" customWidth="1"/>
    <col min="9" max="9" width="11" style="24" customWidth="1"/>
    <col min="10" max="10" width="11.28515625" style="24" customWidth="1"/>
    <col min="11" max="11" width="10.7109375" style="24" customWidth="1"/>
    <col min="12" max="13" width="6.42578125" style="24" hidden="1" customWidth="1"/>
    <col min="14" max="15" width="6.42578125" style="24" customWidth="1"/>
    <col min="16" max="16" width="11.5703125" style="24" customWidth="1"/>
    <col min="17" max="17" width="11.5703125" style="24" hidden="1" customWidth="1"/>
    <col min="18" max="20" width="11.5703125" style="24" customWidth="1"/>
    <col min="21" max="16384" width="1.42578125" style="24"/>
  </cols>
  <sheetData>
    <row r="1" spans="1:20" s="2" customFormat="1">
      <c r="A1" s="360" t="str">
        <f>+Summary!A1</f>
        <v>Fiscal Year 2025 Budget Worksheet</v>
      </c>
      <c r="B1" s="361"/>
      <c r="C1" s="203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</row>
    <row r="2" spans="1:20">
      <c r="A2" s="40" t="s">
        <v>42</v>
      </c>
      <c r="B2" s="41" t="s">
        <v>586</v>
      </c>
      <c r="L2" s="334"/>
      <c r="M2" s="334"/>
    </row>
    <row r="3" spans="1:20">
      <c r="L3" s="53"/>
      <c r="M3" s="53"/>
    </row>
    <row r="4" spans="1:20">
      <c r="L4" s="53"/>
      <c r="M4" s="53"/>
    </row>
    <row r="5" spans="1:20">
      <c r="B5" s="465" t="s">
        <v>481</v>
      </c>
      <c r="C5" s="61"/>
      <c r="D5" s="61"/>
      <c r="E5" s="42"/>
      <c r="F5" s="42"/>
      <c r="G5" s="43" t="s">
        <v>624</v>
      </c>
      <c r="H5" s="43"/>
      <c r="I5" s="45"/>
      <c r="J5" s="45"/>
      <c r="K5" s="45"/>
      <c r="L5" s="44"/>
      <c r="M5" s="44"/>
      <c r="N5" s="42"/>
      <c r="O5" s="42"/>
      <c r="P5" s="43" t="s">
        <v>662</v>
      </c>
      <c r="Q5" s="43"/>
      <c r="R5" s="45"/>
      <c r="S5" s="45"/>
      <c r="T5" s="45"/>
    </row>
    <row r="6" spans="1:20">
      <c r="B6" s="465" t="s">
        <v>480</v>
      </c>
      <c r="C6" s="61" t="s">
        <v>444</v>
      </c>
      <c r="D6" s="61" t="s">
        <v>620</v>
      </c>
      <c r="E6" s="42" t="s">
        <v>86</v>
      </c>
      <c r="F6" s="42" t="s">
        <v>87</v>
      </c>
      <c r="G6" s="42" t="s">
        <v>88</v>
      </c>
      <c r="H6" s="466" t="s">
        <v>338</v>
      </c>
      <c r="I6" s="46" t="s">
        <v>90</v>
      </c>
      <c r="J6" s="47" t="s">
        <v>91</v>
      </c>
      <c r="K6" s="42" t="s">
        <v>342</v>
      </c>
      <c r="L6" s="44" t="s">
        <v>452</v>
      </c>
      <c r="M6" s="44" t="s">
        <v>621</v>
      </c>
      <c r="N6" s="42" t="s">
        <v>86</v>
      </c>
      <c r="O6" s="42" t="s">
        <v>87</v>
      </c>
      <c r="P6" s="42" t="s">
        <v>88</v>
      </c>
      <c r="Q6" s="466" t="s">
        <v>338</v>
      </c>
      <c r="R6" s="46" t="s">
        <v>90</v>
      </c>
      <c r="S6" s="47" t="s">
        <v>91</v>
      </c>
      <c r="T6" s="42" t="s">
        <v>342</v>
      </c>
    </row>
    <row r="7" spans="1:20">
      <c r="L7" s="53"/>
      <c r="M7" s="53"/>
    </row>
    <row r="8" spans="1:20">
      <c r="A8" s="24" t="s">
        <v>45</v>
      </c>
      <c r="B8" s="252"/>
      <c r="L8" s="53"/>
      <c r="M8" s="53"/>
    </row>
    <row r="9" spans="1:20">
      <c r="A9" s="24" t="s">
        <v>663</v>
      </c>
      <c r="B9" s="189"/>
      <c r="D9" s="42"/>
      <c r="G9" s="73">
        <v>215000</v>
      </c>
      <c r="H9" s="73">
        <f>+G9/26</f>
        <v>8269.2307692307695</v>
      </c>
      <c r="I9" s="73"/>
      <c r="J9" s="73">
        <v>0</v>
      </c>
      <c r="K9" s="73">
        <v>0</v>
      </c>
      <c r="L9" s="338"/>
      <c r="M9" s="392"/>
      <c r="N9" s="73"/>
      <c r="O9" s="73"/>
      <c r="P9" s="73">
        <v>190600</v>
      </c>
      <c r="Q9" s="73"/>
      <c r="R9" s="73"/>
      <c r="S9" s="73"/>
      <c r="T9" s="73"/>
    </row>
    <row r="10" spans="1:20">
      <c r="D10" s="42"/>
      <c r="G10" s="73"/>
      <c r="H10" s="73"/>
      <c r="I10" s="73"/>
      <c r="J10" s="73"/>
      <c r="K10" s="73"/>
      <c r="L10" s="53"/>
      <c r="M10" s="392"/>
    </row>
    <row r="11" spans="1:20">
      <c r="A11" s="24" t="s">
        <v>46</v>
      </c>
      <c r="B11" s="51"/>
      <c r="D11" s="42"/>
      <c r="G11" s="73"/>
      <c r="H11" s="73"/>
      <c r="I11" s="73"/>
      <c r="J11" s="73"/>
      <c r="K11" s="73"/>
      <c r="L11" s="53"/>
      <c r="M11" s="392"/>
    </row>
    <row r="12" spans="1:20">
      <c r="A12" s="24" t="s">
        <v>643</v>
      </c>
      <c r="B12" s="51"/>
      <c r="D12" s="42"/>
      <c r="G12" s="73">
        <v>125000</v>
      </c>
      <c r="H12" s="73">
        <v>4976.08</v>
      </c>
      <c r="I12" s="73"/>
      <c r="J12" s="73"/>
      <c r="K12" s="73"/>
      <c r="L12" s="53"/>
      <c r="M12" s="392"/>
      <c r="P12" s="73">
        <v>125000</v>
      </c>
      <c r="Q12" s="73">
        <v>3750</v>
      </c>
      <c r="R12" s="73"/>
      <c r="S12" s="73">
        <v>0</v>
      </c>
      <c r="T12" s="73">
        <v>0</v>
      </c>
    </row>
    <row r="13" spans="1:20">
      <c r="A13" s="62" t="s">
        <v>506</v>
      </c>
      <c r="B13" s="194">
        <v>42394</v>
      </c>
      <c r="C13" s="57"/>
      <c r="D13" s="57"/>
      <c r="E13" s="80"/>
      <c r="F13" s="57"/>
      <c r="G13" s="204">
        <v>65000</v>
      </c>
      <c r="H13" s="204">
        <v>2500</v>
      </c>
      <c r="I13" s="204"/>
      <c r="J13" s="204">
        <v>300</v>
      </c>
      <c r="K13" s="204">
        <v>0</v>
      </c>
      <c r="L13" s="467"/>
      <c r="M13" s="468"/>
      <c r="N13" s="80"/>
      <c r="O13" s="57"/>
      <c r="P13" s="204">
        <f>+Q13*26.125+2400*1.03+10000</f>
        <v>79743.875</v>
      </c>
      <c r="Q13" s="464">
        <f>2500*1.03</f>
        <v>2575</v>
      </c>
      <c r="R13" s="73"/>
      <c r="S13" s="73">
        <v>300</v>
      </c>
      <c r="T13" s="73">
        <v>0</v>
      </c>
    </row>
    <row r="14" spans="1:20">
      <c r="A14" s="62" t="s">
        <v>737</v>
      </c>
      <c r="B14" s="194">
        <v>34094</v>
      </c>
      <c r="C14" s="57"/>
      <c r="D14" s="57"/>
      <c r="E14" s="80"/>
      <c r="F14" s="57"/>
      <c r="G14" s="204">
        <v>77000</v>
      </c>
      <c r="H14" s="204">
        <v>1913.88</v>
      </c>
      <c r="I14" s="204"/>
      <c r="J14" s="204">
        <v>0</v>
      </c>
      <c r="K14" s="204">
        <v>0</v>
      </c>
      <c r="L14" s="467"/>
      <c r="M14" s="468"/>
      <c r="N14" s="80"/>
      <c r="O14" s="57"/>
      <c r="P14" s="204">
        <f t="shared" ref="P14" si="0">+Q14*26.125</f>
        <v>79691.339475000001</v>
      </c>
      <c r="Q14" s="464">
        <f>2961.54*1.03</f>
        <v>3050.3861999999999</v>
      </c>
      <c r="R14" s="73"/>
      <c r="S14" s="73">
        <v>0</v>
      </c>
      <c r="T14" s="73">
        <v>0</v>
      </c>
    </row>
    <row r="15" spans="1:20">
      <c r="A15" s="62" t="s">
        <v>627</v>
      </c>
      <c r="B15" s="194">
        <v>44739</v>
      </c>
      <c r="C15" s="57">
        <v>3</v>
      </c>
      <c r="D15" s="57"/>
      <c r="E15" s="80" t="s">
        <v>100</v>
      </c>
      <c r="F15" s="57">
        <v>2</v>
      </c>
      <c r="G15" s="204">
        <v>45475.27</v>
      </c>
      <c r="H15" s="204">
        <v>1740.68</v>
      </c>
      <c r="I15" s="204">
        <v>24.87</v>
      </c>
      <c r="J15" s="204">
        <v>0</v>
      </c>
      <c r="K15" s="204">
        <v>0</v>
      </c>
      <c r="L15" s="467">
        <v>4</v>
      </c>
      <c r="M15" s="468"/>
      <c r="N15" s="80" t="s">
        <v>100</v>
      </c>
      <c r="O15" s="57">
        <v>3</v>
      </c>
      <c r="P15" s="204">
        <f>+Q15*26.125</f>
        <v>46841.602500000001</v>
      </c>
      <c r="Q15" s="73">
        <v>1792.98</v>
      </c>
      <c r="R15" s="73">
        <v>25.61</v>
      </c>
      <c r="S15" s="73">
        <v>0</v>
      </c>
      <c r="T15" s="73">
        <v>0</v>
      </c>
    </row>
    <row r="16" spans="1:20">
      <c r="A16" s="62"/>
      <c r="B16" s="469"/>
      <c r="C16" s="62"/>
      <c r="D16" s="62"/>
      <c r="E16" s="62"/>
      <c r="F16" s="57"/>
      <c r="G16" s="204"/>
      <c r="H16" s="204"/>
      <c r="I16" s="470"/>
      <c r="J16" s="204"/>
      <c r="K16" s="204"/>
      <c r="L16" s="340"/>
      <c r="M16" s="468"/>
      <c r="N16" s="62"/>
      <c r="O16" s="57"/>
      <c r="P16" s="204"/>
      <c r="Q16" s="73"/>
      <c r="R16" s="187"/>
      <c r="S16" s="73"/>
      <c r="T16" s="73"/>
    </row>
    <row r="17" spans="1:20">
      <c r="B17" s="51"/>
      <c r="F17" s="42"/>
      <c r="G17" s="73"/>
      <c r="H17" s="73"/>
      <c r="I17" s="187"/>
      <c r="J17" s="73"/>
      <c r="K17" s="73"/>
      <c r="L17" s="53"/>
      <c r="M17" s="53"/>
      <c r="N17" s="42"/>
      <c r="O17" s="252"/>
      <c r="P17" s="73"/>
      <c r="Q17" s="73"/>
      <c r="R17" s="187"/>
      <c r="S17" s="73"/>
      <c r="T17" s="73"/>
    </row>
    <row r="18" spans="1:20">
      <c r="A18" s="24" t="s">
        <v>98</v>
      </c>
      <c r="L18" s="53"/>
      <c r="M18" s="53"/>
    </row>
    <row r="19" spans="1:20">
      <c r="A19" s="24" t="s">
        <v>223</v>
      </c>
      <c r="G19" s="36">
        <f>+H19*12+0.04</f>
        <v>2500</v>
      </c>
      <c r="H19" s="36">
        <v>208.33</v>
      </c>
      <c r="L19" s="53"/>
      <c r="M19" s="53"/>
      <c r="P19" s="36">
        <f>+Q19*12+0.04</f>
        <v>2500</v>
      </c>
      <c r="Q19" s="36">
        <v>208.33</v>
      </c>
    </row>
    <row r="20" spans="1:20">
      <c r="A20" s="24" t="s">
        <v>225</v>
      </c>
      <c r="B20" s="51" t="s">
        <v>0</v>
      </c>
      <c r="G20" s="36">
        <f>+H20*12+0.04</f>
        <v>2500</v>
      </c>
      <c r="H20" s="36">
        <v>208.33</v>
      </c>
      <c r="L20" s="53"/>
      <c r="M20" s="53"/>
      <c r="P20" s="36">
        <f>+Q20*12+0.04</f>
        <v>2500</v>
      </c>
      <c r="Q20" s="36">
        <v>208.33</v>
      </c>
    </row>
    <row r="21" spans="1:20">
      <c r="A21" s="24" t="s">
        <v>226</v>
      </c>
      <c r="B21" s="51" t="s">
        <v>0</v>
      </c>
      <c r="G21" s="36">
        <f>+H21*12+0.04</f>
        <v>2500</v>
      </c>
      <c r="H21" s="36">
        <v>208.33</v>
      </c>
      <c r="L21" s="53"/>
      <c r="M21" s="53"/>
      <c r="P21" s="36">
        <f>+Q21*12+0.04</f>
        <v>2500</v>
      </c>
      <c r="Q21" s="36">
        <v>208.33</v>
      </c>
    </row>
    <row r="22" spans="1:20">
      <c r="A22" s="24" t="s">
        <v>227</v>
      </c>
      <c r="B22" s="51" t="s">
        <v>0</v>
      </c>
      <c r="G22" s="36">
        <f>+H22*12+0.04</f>
        <v>2500</v>
      </c>
      <c r="H22" s="36">
        <v>208.33</v>
      </c>
      <c r="L22" s="53"/>
      <c r="M22" s="53"/>
      <c r="P22" s="36">
        <f>+Q22*12+0.04</f>
        <v>2500</v>
      </c>
      <c r="Q22" s="36">
        <v>208.33</v>
      </c>
    </row>
    <row r="23" spans="1:20">
      <c r="A23" s="24" t="s">
        <v>224</v>
      </c>
      <c r="B23" s="51" t="s">
        <v>0</v>
      </c>
      <c r="G23" s="36">
        <f>+H23*12</f>
        <v>3000</v>
      </c>
      <c r="H23" s="36">
        <v>250</v>
      </c>
      <c r="L23" s="53"/>
      <c r="M23" s="53"/>
      <c r="P23" s="36">
        <f>+Q23*12</f>
        <v>3000</v>
      </c>
      <c r="Q23" s="36">
        <v>250</v>
      </c>
    </row>
    <row r="24" spans="1:20">
      <c r="L24" s="53"/>
      <c r="M24" s="53"/>
    </row>
    <row r="25" spans="1:20">
      <c r="A25" s="62" t="s">
        <v>0</v>
      </c>
      <c r="B25" s="57"/>
      <c r="L25" s="53"/>
      <c r="M25" s="53"/>
    </row>
    <row r="26" spans="1:20">
      <c r="A26" s="40" t="s">
        <v>96</v>
      </c>
      <c r="L26" s="53"/>
      <c r="M26" s="53"/>
    </row>
    <row r="27" spans="1:20">
      <c r="A27" s="24" t="s">
        <v>45</v>
      </c>
      <c r="G27" s="73">
        <f>ROUND(G9,0)</f>
        <v>215000</v>
      </c>
      <c r="L27" s="53"/>
      <c r="M27" s="53"/>
      <c r="P27" s="73">
        <v>190600</v>
      </c>
    </row>
    <row r="28" spans="1:20">
      <c r="A28" s="24" t="s">
        <v>46</v>
      </c>
      <c r="G28" s="73">
        <v>290475</v>
      </c>
      <c r="L28" s="53"/>
      <c r="M28" s="53"/>
      <c r="P28" s="73">
        <f>ROUND(P12+P13+P14+P15+P16,0)</f>
        <v>331277</v>
      </c>
    </row>
    <row r="29" spans="1:20">
      <c r="A29" s="24" t="s">
        <v>250</v>
      </c>
      <c r="G29" s="73">
        <f>ROUND(G19+G20+G21+G23+G22,0)</f>
        <v>13000</v>
      </c>
      <c r="L29" s="53"/>
      <c r="M29" s="53"/>
      <c r="P29" s="73">
        <f>ROUND(P19+P20+P21+P23+P22,0)</f>
        <v>13000</v>
      </c>
    </row>
    <row r="30" spans="1:20">
      <c r="A30" s="24" t="s">
        <v>47</v>
      </c>
      <c r="G30" s="73">
        <v>8000</v>
      </c>
      <c r="L30" s="53"/>
      <c r="M30" s="53"/>
      <c r="P30" s="73">
        <v>8000</v>
      </c>
    </row>
    <row r="31" spans="1:20">
      <c r="A31" s="24" t="s">
        <v>91</v>
      </c>
      <c r="G31" s="73">
        <f>+J13+J15+J9</f>
        <v>300</v>
      </c>
      <c r="L31" s="53"/>
      <c r="M31" s="53"/>
      <c r="P31" s="73">
        <f>+S13+S15+S9</f>
        <v>300</v>
      </c>
    </row>
    <row r="32" spans="1:20">
      <c r="A32" s="24" t="s">
        <v>408</v>
      </c>
      <c r="G32" s="73">
        <v>2800</v>
      </c>
      <c r="L32" s="53"/>
      <c r="M32" s="53"/>
      <c r="P32" s="73">
        <f>2800</f>
        <v>2800</v>
      </c>
      <c r="Q32" s="457" t="s">
        <v>687</v>
      </c>
    </row>
    <row r="33" spans="1:18">
      <c r="A33" s="24" t="s">
        <v>52</v>
      </c>
      <c r="G33" s="73">
        <v>0</v>
      </c>
      <c r="L33" s="53"/>
      <c r="M33" s="53"/>
      <c r="P33" s="73">
        <f>ROUND(P15*0.02,0)</f>
        <v>937</v>
      </c>
      <c r="Q33" s="457"/>
    </row>
    <row r="34" spans="1:18">
      <c r="A34" s="62" t="s">
        <v>342</v>
      </c>
      <c r="B34" s="57"/>
      <c r="C34" s="62"/>
      <c r="D34" s="62"/>
      <c r="E34" s="62"/>
      <c r="F34" s="62"/>
      <c r="G34" s="204">
        <v>16848</v>
      </c>
      <c r="H34" s="62"/>
      <c r="I34" s="62"/>
      <c r="J34" s="62"/>
      <c r="K34" s="62"/>
      <c r="L34" s="340"/>
      <c r="M34" s="340"/>
      <c r="N34" s="62"/>
      <c r="O34" s="62"/>
      <c r="P34" s="204">
        <v>0</v>
      </c>
      <c r="Q34" s="463"/>
    </row>
    <row r="35" spans="1:18">
      <c r="L35" s="53"/>
      <c r="M35" s="53"/>
    </row>
    <row r="36" spans="1:18">
      <c r="A36" s="42" t="s">
        <v>337</v>
      </c>
      <c r="G36" s="197">
        <f>SUM(G27:G34)</f>
        <v>546423</v>
      </c>
      <c r="L36" s="53"/>
      <c r="M36" s="53"/>
      <c r="P36" s="197">
        <f>SUM(P27:P34)</f>
        <v>546914</v>
      </c>
    </row>
    <row r="39" spans="1:18">
      <c r="G39" s="60" t="s">
        <v>639</v>
      </c>
      <c r="P39" s="60" t="s">
        <v>666</v>
      </c>
    </row>
    <row r="40" spans="1:18">
      <c r="G40" s="60" t="s">
        <v>625</v>
      </c>
      <c r="P40" s="60" t="s">
        <v>664</v>
      </c>
    </row>
    <row r="41" spans="1:18">
      <c r="G41" s="313" t="s">
        <v>97</v>
      </c>
      <c r="H41" s="62"/>
      <c r="P41" s="313" t="s">
        <v>97</v>
      </c>
      <c r="Q41" s="62"/>
      <c r="R41" s="62"/>
    </row>
    <row r="43" spans="1:18">
      <c r="G43" s="24" t="s">
        <v>180</v>
      </c>
      <c r="P43" s="24" t="s">
        <v>180</v>
      </c>
    </row>
  </sheetData>
  <phoneticPr fontId="0" type="noConversion"/>
  <printOptions horizontalCentered="1" gridLines="1"/>
  <pageMargins left="0.45" right="0.35" top="0.75" bottom="1" header="0.3" footer="0.3"/>
  <pageSetup scale="79" orientation="landscape" r:id="rId1"/>
  <headerFooter>
    <oddFooter>&amp;L&amp;D FY25 Budget&amp;CPage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C9" sqref="C9"/>
    </sheetView>
  </sheetViews>
  <sheetFormatPr defaultColWidth="9" defaultRowHeight="15"/>
  <cols>
    <col min="1" max="1" width="15" style="24" customWidth="1"/>
    <col min="2" max="2" width="9.7109375" style="24" customWidth="1"/>
    <col min="3" max="5" width="9" style="24"/>
    <col min="6" max="6" width="11.42578125" style="24" customWidth="1"/>
    <col min="7" max="7" width="0" style="24" hidden="1" customWidth="1"/>
    <col min="8" max="10" width="9" style="24"/>
    <col min="11" max="12" width="5.5703125" style="24" customWidth="1"/>
    <col min="13" max="13" width="6" style="24" customWidth="1"/>
    <col min="14" max="14" width="11.7109375" style="24" customWidth="1"/>
    <col min="15" max="15" width="11.5703125" style="24" hidden="1" customWidth="1"/>
    <col min="16" max="18" width="11.5703125" style="24" customWidth="1"/>
    <col min="19" max="16384" width="9" style="24"/>
  </cols>
  <sheetData>
    <row r="1" spans="1:18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>
      <c r="A2" s="40" t="s">
        <v>42</v>
      </c>
      <c r="B2" s="41" t="s">
        <v>135</v>
      </c>
      <c r="K2" s="334"/>
    </row>
    <row r="3" spans="1:18">
      <c r="B3" s="42"/>
      <c r="K3" s="53"/>
    </row>
    <row r="4" spans="1:18">
      <c r="B4" s="42"/>
      <c r="K4" s="53"/>
    </row>
    <row r="5" spans="1:18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18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8">
      <c r="K7" s="53"/>
    </row>
    <row r="8" spans="1:18">
      <c r="A8" s="24" t="s">
        <v>45</v>
      </c>
      <c r="K8" s="53"/>
    </row>
    <row r="9" spans="1:18">
      <c r="A9" s="24" t="s">
        <v>592</v>
      </c>
      <c r="B9" s="189"/>
      <c r="C9" s="42"/>
      <c r="D9" s="42"/>
      <c r="E9" s="42"/>
      <c r="F9" s="73">
        <v>6695</v>
      </c>
      <c r="G9" s="73"/>
      <c r="H9" s="73"/>
      <c r="I9" s="188">
        <v>0</v>
      </c>
      <c r="J9" s="73">
        <v>0</v>
      </c>
      <c r="K9" s="44"/>
      <c r="L9" s="42"/>
      <c r="M9" s="42"/>
      <c r="N9" s="73">
        <v>7030</v>
      </c>
      <c r="O9" s="73"/>
      <c r="P9" s="73">
        <v>0</v>
      </c>
      <c r="Q9" s="188">
        <v>0</v>
      </c>
      <c r="R9" s="73">
        <v>0</v>
      </c>
    </row>
    <row r="10" spans="1:18">
      <c r="B10" s="59"/>
      <c r="K10" s="53"/>
    </row>
    <row r="11" spans="1:18">
      <c r="A11" s="24" t="s">
        <v>109</v>
      </c>
      <c r="B11" s="59"/>
      <c r="K11" s="53"/>
    </row>
    <row r="12" spans="1:18">
      <c r="B12" s="42"/>
      <c r="K12" s="53"/>
    </row>
    <row r="13" spans="1:18">
      <c r="B13" s="42"/>
      <c r="K13" s="53"/>
    </row>
    <row r="14" spans="1:18">
      <c r="A14" s="40" t="s">
        <v>96</v>
      </c>
      <c r="B14" s="42"/>
      <c r="K14" s="53"/>
    </row>
    <row r="15" spans="1:18">
      <c r="A15" s="24" t="s">
        <v>45</v>
      </c>
      <c r="B15" s="42"/>
      <c r="F15" s="36">
        <f>ROUNDUP(+F9,0)</f>
        <v>6695</v>
      </c>
      <c r="K15" s="53"/>
      <c r="N15" s="36">
        <f>ROUNDUP(+N9,0)</f>
        <v>7030</v>
      </c>
    </row>
    <row r="16" spans="1:18">
      <c r="A16" s="24" t="s">
        <v>46</v>
      </c>
      <c r="B16" s="42"/>
      <c r="F16" s="36">
        <v>0</v>
      </c>
      <c r="K16" s="53"/>
      <c r="N16" s="36">
        <v>0</v>
      </c>
    </row>
    <row r="17" spans="1:14">
      <c r="A17" s="24" t="s">
        <v>47</v>
      </c>
      <c r="B17" s="42"/>
      <c r="F17" s="36">
        <v>47272</v>
      </c>
      <c r="K17" s="53"/>
      <c r="N17" s="36">
        <v>49636</v>
      </c>
    </row>
    <row r="18" spans="1:14">
      <c r="A18" s="24" t="s">
        <v>48</v>
      </c>
      <c r="B18" s="42"/>
      <c r="F18" s="36">
        <v>0</v>
      </c>
      <c r="K18" s="53"/>
      <c r="N18" s="36">
        <v>0</v>
      </c>
    </row>
    <row r="19" spans="1:14">
      <c r="A19" s="24" t="s">
        <v>52</v>
      </c>
      <c r="B19" s="42"/>
      <c r="F19" s="54">
        <v>0</v>
      </c>
      <c r="K19" s="53"/>
      <c r="N19" s="54">
        <v>0</v>
      </c>
    </row>
    <row r="20" spans="1:14">
      <c r="B20" s="42"/>
      <c r="F20" s="54"/>
      <c r="K20" s="53"/>
      <c r="N20" s="54"/>
    </row>
    <row r="21" spans="1:14">
      <c r="A21" s="42" t="s">
        <v>337</v>
      </c>
      <c r="B21" s="42"/>
      <c r="F21" s="186">
        <f>SUM(F15:F19)</f>
        <v>53967</v>
      </c>
      <c r="K21" s="53"/>
      <c r="N21" s="186">
        <f>SUM(N15:N19)</f>
        <v>56666</v>
      </c>
    </row>
    <row r="22" spans="1:14">
      <c r="B22" s="42"/>
    </row>
    <row r="23" spans="1:14">
      <c r="B23" s="42"/>
    </row>
    <row r="24" spans="1:14">
      <c r="B24" s="42"/>
    </row>
    <row r="25" spans="1:14">
      <c r="B25" s="42"/>
      <c r="F25" s="60" t="s">
        <v>626</v>
      </c>
      <c r="N25" s="60" t="s">
        <v>666</v>
      </c>
    </row>
    <row r="26" spans="1:14">
      <c r="B26" s="42"/>
      <c r="F26" s="60" t="s">
        <v>625</v>
      </c>
      <c r="N26" s="60" t="s">
        <v>664</v>
      </c>
    </row>
    <row r="27" spans="1:14">
      <c r="B27" s="42"/>
      <c r="F27" s="313" t="s">
        <v>97</v>
      </c>
      <c r="G27" s="62"/>
      <c r="H27" s="62"/>
      <c r="I27" s="62"/>
      <c r="K27" s="62"/>
      <c r="L27" s="62"/>
      <c r="M27" s="62"/>
      <c r="N27" s="313" t="s">
        <v>97</v>
      </c>
    </row>
    <row r="28" spans="1:14">
      <c r="B28" s="42"/>
      <c r="F28" s="60"/>
      <c r="N28" s="60"/>
    </row>
    <row r="30" spans="1:14">
      <c r="F30" s="62"/>
      <c r="G30" s="62"/>
      <c r="H30" s="62"/>
      <c r="I30" s="62"/>
      <c r="J30" s="62"/>
    </row>
    <row r="32" spans="1:14">
      <c r="B32" s="59"/>
    </row>
  </sheetData>
  <printOptions horizontalCentered="1" gridLines="1"/>
  <pageMargins left="0.45" right="0.35" top="0.75" bottom="1" header="0.3" footer="0.3"/>
  <pageSetup scale="67" orientation="landscape" r:id="rId1"/>
  <headerFooter>
    <oddFooter>&amp;L&amp;D FY25 Budget&amp;CPage 47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workbookViewId="0">
      <selection activeCell="H39" sqref="H39"/>
    </sheetView>
  </sheetViews>
  <sheetFormatPr defaultColWidth="9" defaultRowHeight="15"/>
  <cols>
    <col min="1" max="1" width="12.5703125" style="24" customWidth="1"/>
    <col min="2" max="2" width="15.42578125" style="24" customWidth="1"/>
    <col min="3" max="3" width="12.42578125" style="24" customWidth="1"/>
    <col min="4" max="4" width="14.42578125" style="36" customWidth="1"/>
    <col min="5" max="5" width="14.42578125" style="63" customWidth="1"/>
    <col min="6" max="8" width="14.42578125" style="36" customWidth="1"/>
    <col min="9" max="9" width="14.42578125" style="24" customWidth="1"/>
    <col min="10" max="10" width="9" style="24"/>
    <col min="11" max="11" width="12.42578125" style="290" bestFit="1" customWidth="1"/>
    <col min="12" max="12" width="12.42578125" style="24" bestFit="1" customWidth="1"/>
    <col min="13" max="13" width="11" style="24" bestFit="1" customWidth="1"/>
    <col min="14" max="16384" width="9" style="24"/>
  </cols>
  <sheetData>
    <row r="1" spans="1:11" s="2" customFormat="1">
      <c r="A1" s="1" t="str">
        <f>+Summary!A1</f>
        <v>Fiscal Year 2025 Budget Worksheet</v>
      </c>
      <c r="B1" s="1"/>
      <c r="C1" s="1"/>
      <c r="D1" s="1"/>
      <c r="E1" s="1"/>
      <c r="F1" s="1"/>
      <c r="G1" s="39"/>
      <c r="H1" s="39"/>
      <c r="I1" s="1"/>
    </row>
    <row r="2" spans="1:11">
      <c r="A2" s="30" t="s">
        <v>436</v>
      </c>
      <c r="D2" s="321"/>
      <c r="E2" s="370"/>
      <c r="F2" s="321"/>
      <c r="G2" s="321"/>
    </row>
    <row r="3" spans="1:11" ht="43.5" customHeight="1">
      <c r="A3" s="31"/>
      <c r="B3" s="32" t="s">
        <v>41</v>
      </c>
      <c r="C3" s="33" t="s">
        <v>0</v>
      </c>
      <c r="D3" s="33" t="str">
        <f>+'Dept 122'!D4</f>
        <v>FY22 Actual</v>
      </c>
      <c r="E3" s="33" t="str">
        <f>+'Dept 122'!E4</f>
        <v>FY23 Actual</v>
      </c>
      <c r="F3" s="33" t="str">
        <f>+'Dept 122'!F4</f>
        <v>FY24 Budget</v>
      </c>
      <c r="G3" s="33" t="str">
        <f>+'Dept 122'!G4</f>
        <v>FY25 Request</v>
      </c>
      <c r="H3" s="33" t="str">
        <f>+'Dept 122'!H4</f>
        <v>Town Manager Recommend</v>
      </c>
      <c r="I3" s="33" t="str">
        <f>+'Dept 122'!I4</f>
        <v>Advisory Board Recommend</v>
      </c>
    </row>
    <row r="5" spans="1:11">
      <c r="A5" s="72" t="s">
        <v>140</v>
      </c>
    </row>
    <row r="6" spans="1:11">
      <c r="A6" s="24" t="s">
        <v>142</v>
      </c>
      <c r="B6" s="24" t="s">
        <v>158</v>
      </c>
      <c r="C6" s="73"/>
      <c r="D6" s="376">
        <v>918000</v>
      </c>
      <c r="E6" s="376">
        <v>910000</v>
      </c>
      <c r="F6" s="376">
        <v>905000</v>
      </c>
      <c r="G6" s="71">
        <v>900000</v>
      </c>
      <c r="H6" s="71">
        <v>900000</v>
      </c>
      <c r="I6" s="201"/>
    </row>
    <row r="7" spans="1:11">
      <c r="A7" s="24" t="s">
        <v>146</v>
      </c>
      <c r="B7" s="24" t="s">
        <v>159</v>
      </c>
      <c r="C7" s="73"/>
      <c r="D7" s="376">
        <v>601837</v>
      </c>
      <c r="E7" s="376">
        <v>321269</v>
      </c>
      <c r="F7" s="376">
        <v>286946</v>
      </c>
      <c r="G7" s="71">
        <v>252144</v>
      </c>
      <c r="H7" s="71">
        <v>252144</v>
      </c>
      <c r="I7" s="201"/>
    </row>
    <row r="8" spans="1:11">
      <c r="A8" s="24" t="s">
        <v>141</v>
      </c>
      <c r="B8" s="24" t="s">
        <v>160</v>
      </c>
      <c r="C8" s="73"/>
      <c r="D8" s="376">
        <v>1708333</v>
      </c>
      <c r="E8" s="376">
        <v>1693689</v>
      </c>
      <c r="F8" s="376">
        <v>1880073</v>
      </c>
      <c r="G8" s="71">
        <v>1841484</v>
      </c>
      <c r="H8" s="71">
        <v>1841484</v>
      </c>
      <c r="I8" s="201"/>
    </row>
    <row r="9" spans="1:11">
      <c r="A9" s="24" t="s">
        <v>143</v>
      </c>
      <c r="B9" s="24" t="s">
        <v>161</v>
      </c>
      <c r="C9" s="73"/>
      <c r="D9" s="376">
        <v>397792</v>
      </c>
      <c r="E9" s="376">
        <v>688618</v>
      </c>
      <c r="F9" s="382">
        <v>679234</v>
      </c>
      <c r="G9" s="71">
        <v>613486</v>
      </c>
      <c r="H9" s="71">
        <v>613486</v>
      </c>
      <c r="I9" s="201"/>
    </row>
    <row r="10" spans="1:11">
      <c r="A10" s="24" t="s">
        <v>145</v>
      </c>
      <c r="B10" s="24" t="s">
        <v>162</v>
      </c>
      <c r="C10" s="73"/>
      <c r="D10" s="376">
        <v>3934</v>
      </c>
      <c r="E10" s="376">
        <v>50000</v>
      </c>
      <c r="F10" s="382">
        <v>75000</v>
      </c>
      <c r="G10" s="71">
        <v>123784</v>
      </c>
      <c r="H10" s="71">
        <v>123784</v>
      </c>
      <c r="I10" s="201"/>
      <c r="K10" s="460"/>
    </row>
    <row r="11" spans="1:11">
      <c r="A11" s="24" t="s">
        <v>144</v>
      </c>
      <c r="B11" s="24" t="s">
        <v>137</v>
      </c>
      <c r="C11" s="73"/>
      <c r="D11" s="387">
        <v>0</v>
      </c>
      <c r="E11" s="387">
        <v>3750</v>
      </c>
      <c r="F11" s="387">
        <v>0</v>
      </c>
      <c r="G11" s="301">
        <v>0</v>
      </c>
      <c r="H11" s="301">
        <v>0</v>
      </c>
      <c r="I11" s="296"/>
    </row>
    <row r="12" spans="1:11">
      <c r="D12" s="376">
        <f t="shared" ref="D12:I12" si="0">SUM(D6:D11)</f>
        <v>3629896</v>
      </c>
      <c r="E12" s="376">
        <f t="shared" si="0"/>
        <v>3667326</v>
      </c>
      <c r="F12" s="201">
        <f t="shared" si="0"/>
        <v>3826253</v>
      </c>
      <c r="G12" s="71">
        <f>SUM(G6:G11)</f>
        <v>3730898</v>
      </c>
      <c r="H12" s="71">
        <f t="shared" si="0"/>
        <v>3730898</v>
      </c>
      <c r="I12" s="201">
        <f t="shared" si="0"/>
        <v>0</v>
      </c>
    </row>
    <row r="13" spans="1:11" customFormat="1">
      <c r="D13" s="390"/>
      <c r="E13" s="390"/>
      <c r="F13" s="254"/>
      <c r="G13" s="71"/>
      <c r="H13" s="71"/>
      <c r="I13" s="254"/>
      <c r="K13" s="291"/>
    </row>
    <row r="14" spans="1:11">
      <c r="A14" s="30" t="s">
        <v>504</v>
      </c>
      <c r="C14" s="73"/>
      <c r="D14" s="302"/>
      <c r="E14" s="302"/>
      <c r="F14" s="201"/>
      <c r="G14" s="71"/>
      <c r="H14" s="71"/>
      <c r="I14" s="201"/>
    </row>
    <row r="15" spans="1:11">
      <c r="A15" s="24" t="s">
        <v>152</v>
      </c>
      <c r="B15" s="24" t="s">
        <v>528</v>
      </c>
      <c r="C15" s="73"/>
      <c r="D15" s="376">
        <v>27032</v>
      </c>
      <c r="E15" s="376">
        <v>57550</v>
      </c>
      <c r="F15" s="382">
        <v>57492</v>
      </c>
      <c r="G15" s="201">
        <f>+F15*1.1</f>
        <v>63241.200000000004</v>
      </c>
      <c r="H15" s="201">
        <v>63241</v>
      </c>
      <c r="I15" s="201"/>
      <c r="J15" s="36"/>
      <c r="K15" s="293"/>
    </row>
    <row r="16" spans="1:11">
      <c r="A16" s="24" t="s">
        <v>153</v>
      </c>
      <c r="B16" s="24" t="s">
        <v>336</v>
      </c>
      <c r="C16" s="73"/>
      <c r="D16" s="376">
        <v>3040</v>
      </c>
      <c r="E16" s="376">
        <v>4876</v>
      </c>
      <c r="F16" s="382">
        <v>80304</v>
      </c>
      <c r="G16" s="201">
        <f>+F16*1</f>
        <v>80304</v>
      </c>
      <c r="H16" s="201">
        <v>80304</v>
      </c>
      <c r="I16" s="201"/>
      <c r="J16" s="36"/>
      <c r="K16" s="293"/>
    </row>
    <row r="17" spans="1:13">
      <c r="A17" s="24" t="s">
        <v>157</v>
      </c>
      <c r="B17" s="24" t="s">
        <v>264</v>
      </c>
      <c r="C17" s="73"/>
      <c r="D17" s="387">
        <v>110509</v>
      </c>
      <c r="E17" s="387">
        <f>83522-703</f>
        <v>82819</v>
      </c>
      <c r="F17" s="443">
        <v>95051</v>
      </c>
      <c r="G17" s="296">
        <f>+F17*1.1</f>
        <v>104556.1</v>
      </c>
      <c r="H17" s="296">
        <v>104556</v>
      </c>
      <c r="I17" s="296"/>
      <c r="J17" s="36"/>
      <c r="K17" s="293"/>
    </row>
    <row r="18" spans="1:13">
      <c r="C18" s="73"/>
      <c r="D18" s="376">
        <f t="shared" ref="D18:I18" si="1">SUM(D15:D17)</f>
        <v>140581</v>
      </c>
      <c r="E18" s="376">
        <f t="shared" si="1"/>
        <v>145245</v>
      </c>
      <c r="F18" s="376">
        <f t="shared" si="1"/>
        <v>232847</v>
      </c>
      <c r="G18" s="201">
        <f>SUM(G15:G17)</f>
        <v>248101.30000000002</v>
      </c>
      <c r="H18" s="201">
        <f>SUM(H15:H17)</f>
        <v>248101</v>
      </c>
      <c r="I18" s="201">
        <f t="shared" si="1"/>
        <v>0</v>
      </c>
      <c r="J18" s="36"/>
      <c r="K18" s="293"/>
    </row>
    <row r="19" spans="1:13">
      <c r="C19" s="73"/>
      <c r="D19" s="376"/>
      <c r="E19" s="376"/>
      <c r="F19" s="376"/>
      <c r="G19" s="71"/>
      <c r="H19" s="201"/>
      <c r="I19" s="201"/>
      <c r="J19" s="36"/>
      <c r="K19" s="293"/>
    </row>
    <row r="20" spans="1:13">
      <c r="A20" s="30" t="s">
        <v>312</v>
      </c>
      <c r="C20" s="73"/>
      <c r="D20" s="376"/>
      <c r="E20" s="376"/>
      <c r="F20" s="376"/>
      <c r="G20" s="71"/>
      <c r="H20" s="201"/>
      <c r="I20" s="201"/>
      <c r="J20" s="36"/>
      <c r="K20" s="293"/>
    </row>
    <row r="21" spans="1:13" s="40" customFormat="1">
      <c r="A21" s="69" t="s">
        <v>154</v>
      </c>
      <c r="B21" s="69" t="s">
        <v>138</v>
      </c>
      <c r="C21" s="209"/>
      <c r="D21" s="382">
        <v>5442788</v>
      </c>
      <c r="E21" s="382">
        <v>5465161</v>
      </c>
      <c r="F21" s="382">
        <v>6560329</v>
      </c>
      <c r="G21" s="201">
        <f>+F21*1.03</f>
        <v>6757138.8700000001</v>
      </c>
      <c r="H21" s="71">
        <v>6757139</v>
      </c>
      <c r="I21" s="71"/>
      <c r="K21" s="359"/>
      <c r="M21" s="356"/>
    </row>
    <row r="22" spans="1:13" s="40" customFormat="1">
      <c r="A22" s="69" t="s">
        <v>154</v>
      </c>
      <c r="B22" s="69" t="s">
        <v>685</v>
      </c>
      <c r="C22" s="209"/>
      <c r="D22" s="382">
        <v>0</v>
      </c>
      <c r="E22" s="382">
        <v>0</v>
      </c>
      <c r="F22" s="382">
        <v>0</v>
      </c>
      <c r="G22" s="201">
        <v>20000</v>
      </c>
      <c r="H22" s="71">
        <v>20000</v>
      </c>
      <c r="I22" s="71"/>
      <c r="K22" s="359"/>
      <c r="M22" s="356"/>
    </row>
    <row r="23" spans="1:13">
      <c r="A23" s="24" t="s">
        <v>155</v>
      </c>
      <c r="B23" s="24" t="s">
        <v>139</v>
      </c>
      <c r="C23" s="73"/>
      <c r="D23" s="376">
        <v>709236</v>
      </c>
      <c r="E23" s="376">
        <v>763086</v>
      </c>
      <c r="F23" s="382">
        <v>798600</v>
      </c>
      <c r="G23" s="71">
        <f>+F23*1.1</f>
        <v>878460.00000000012</v>
      </c>
      <c r="H23" s="201">
        <v>878460</v>
      </c>
      <c r="I23" s="201"/>
      <c r="J23" s="36"/>
      <c r="K23" s="293"/>
      <c r="L23" s="36"/>
      <c r="M23" s="36"/>
    </row>
    <row r="24" spans="1:13">
      <c r="A24" s="24" t="s">
        <v>156</v>
      </c>
      <c r="B24" s="24" t="s">
        <v>466</v>
      </c>
      <c r="C24" s="73"/>
      <c r="D24" s="376">
        <v>335685</v>
      </c>
      <c r="E24" s="376">
        <v>347015</v>
      </c>
      <c r="F24" s="382">
        <v>393826</v>
      </c>
      <c r="G24" s="201">
        <f>+F24*1.05</f>
        <v>413517.30000000005</v>
      </c>
      <c r="H24" s="201">
        <v>413517</v>
      </c>
      <c r="I24" s="201"/>
      <c r="J24" s="36"/>
      <c r="K24" s="293"/>
      <c r="L24" s="20"/>
    </row>
    <row r="25" spans="1:13">
      <c r="A25" s="6" t="s">
        <v>210</v>
      </c>
      <c r="B25" s="6" t="s">
        <v>73</v>
      </c>
      <c r="C25" s="28"/>
      <c r="D25" s="302">
        <v>134652</v>
      </c>
      <c r="E25" s="302">
        <v>126386</v>
      </c>
      <c r="F25" s="382">
        <v>200000</v>
      </c>
      <c r="G25" s="201">
        <f>+F25*1</f>
        <v>200000</v>
      </c>
      <c r="H25" s="201">
        <v>200000</v>
      </c>
      <c r="I25" s="201"/>
      <c r="J25" s="36"/>
      <c r="K25" s="293"/>
      <c r="M25" s="201"/>
    </row>
    <row r="26" spans="1:13">
      <c r="A26" s="24" t="s">
        <v>235</v>
      </c>
      <c r="B26" s="24" t="s">
        <v>74</v>
      </c>
      <c r="C26" s="73"/>
      <c r="D26" s="387">
        <v>54267</v>
      </c>
      <c r="E26" s="387">
        <v>58709</v>
      </c>
      <c r="F26" s="443">
        <v>82409</v>
      </c>
      <c r="G26" s="301">
        <f>60000+22409</f>
        <v>82409</v>
      </c>
      <c r="H26" s="296">
        <v>82409</v>
      </c>
      <c r="I26" s="296"/>
      <c r="K26" s="455"/>
      <c r="M26" s="201"/>
    </row>
    <row r="27" spans="1:13">
      <c r="A27" s="35"/>
      <c r="D27" s="302">
        <f t="shared" ref="D27:I27" si="2">SUM(D21:D26)</f>
        <v>6676628</v>
      </c>
      <c r="E27" s="302">
        <f t="shared" si="2"/>
        <v>6760357</v>
      </c>
      <c r="F27" s="302">
        <f t="shared" si="2"/>
        <v>8035164</v>
      </c>
      <c r="G27" s="302">
        <f>SUM(G21:G26)</f>
        <v>8351525.1699999999</v>
      </c>
      <c r="H27" s="302">
        <f>SUM(H21:H26)</f>
        <v>8351525</v>
      </c>
      <c r="I27" s="302">
        <f t="shared" si="2"/>
        <v>0</v>
      </c>
      <c r="J27" s="36"/>
      <c r="M27" s="201"/>
    </row>
    <row r="28" spans="1:13" customFormat="1">
      <c r="D28" s="303"/>
      <c r="E28" s="303"/>
      <c r="F28" s="388"/>
      <c r="G28" s="71"/>
      <c r="H28" s="254"/>
      <c r="I28" s="254"/>
      <c r="K28" s="291"/>
      <c r="M28" s="254"/>
    </row>
    <row r="29" spans="1:13">
      <c r="A29" s="30" t="s">
        <v>262</v>
      </c>
      <c r="D29" s="302"/>
      <c r="E29" s="302"/>
      <c r="F29" s="376"/>
      <c r="G29" s="71"/>
      <c r="H29" s="201"/>
      <c r="I29" s="201"/>
      <c r="J29" s="36"/>
      <c r="K29" s="293"/>
      <c r="M29" s="201"/>
    </row>
    <row r="30" spans="1:13">
      <c r="A30" s="35" t="s">
        <v>246</v>
      </c>
      <c r="B30" s="24" t="s">
        <v>255</v>
      </c>
      <c r="D30" s="302">
        <v>253265</v>
      </c>
      <c r="E30" s="302">
        <v>255065</v>
      </c>
      <c r="F30" s="376">
        <v>284326</v>
      </c>
      <c r="G30" s="201">
        <f>+F30*1.025</f>
        <v>291434.14999999997</v>
      </c>
      <c r="H30" s="201">
        <v>291434</v>
      </c>
      <c r="I30" s="201"/>
      <c r="J30" s="36"/>
      <c r="K30" s="293"/>
      <c r="M30" s="201"/>
    </row>
    <row r="31" spans="1:13">
      <c r="A31" s="35" t="s">
        <v>251</v>
      </c>
      <c r="B31" s="24" t="s">
        <v>636</v>
      </c>
      <c r="D31" s="302">
        <v>2000</v>
      </c>
      <c r="E31" s="302">
        <v>920</v>
      </c>
      <c r="F31" s="376">
        <v>4000</v>
      </c>
      <c r="G31" s="71">
        <v>4000</v>
      </c>
      <c r="H31" s="201">
        <v>4000</v>
      </c>
      <c r="I31" s="201"/>
      <c r="J31" s="36"/>
      <c r="K31" s="293"/>
    </row>
    <row r="32" spans="1:13">
      <c r="A32" s="24" t="s">
        <v>682</v>
      </c>
      <c r="B32" s="24" t="s">
        <v>208</v>
      </c>
      <c r="D32" s="302">
        <v>34000</v>
      </c>
      <c r="E32" s="302">
        <v>42800</v>
      </c>
      <c r="F32" s="376">
        <v>49350</v>
      </c>
      <c r="G32" s="71">
        <v>48000</v>
      </c>
      <c r="H32" s="201">
        <v>48000</v>
      </c>
      <c r="I32" s="201"/>
      <c r="J32" s="36"/>
      <c r="K32" s="293"/>
      <c r="L32" s="62"/>
      <c r="M32" s="376"/>
    </row>
    <row r="33" spans="1:46">
      <c r="A33" s="24" t="s">
        <v>256</v>
      </c>
      <c r="B33" s="24" t="s">
        <v>57</v>
      </c>
      <c r="D33" s="387">
        <v>40083</v>
      </c>
      <c r="E33" s="387">
        <v>24967</v>
      </c>
      <c r="F33" s="387">
        <v>27300</v>
      </c>
      <c r="G33" s="301">
        <v>50000</v>
      </c>
      <c r="H33" s="296">
        <v>50000</v>
      </c>
      <c r="I33" s="296"/>
      <c r="J33" s="438"/>
      <c r="K33" s="293"/>
      <c r="L33" s="62"/>
      <c r="M33" s="376"/>
    </row>
    <row r="34" spans="1:46">
      <c r="A34" s="35"/>
      <c r="D34" s="302">
        <f t="shared" ref="D34:I34" si="3">SUM(D30:D33)</f>
        <v>329348</v>
      </c>
      <c r="E34" s="302">
        <f t="shared" si="3"/>
        <v>323752</v>
      </c>
      <c r="F34" s="376">
        <f t="shared" si="3"/>
        <v>364976</v>
      </c>
      <c r="G34" s="71">
        <f>SUM(G30:G33)</f>
        <v>393434.14999999997</v>
      </c>
      <c r="H34" s="201">
        <f>SUM(H30:H33)</f>
        <v>393434</v>
      </c>
      <c r="I34" s="201">
        <f t="shared" si="3"/>
        <v>0</v>
      </c>
      <c r="L34" s="62"/>
      <c r="M34" s="62"/>
    </row>
    <row r="35" spans="1:46">
      <c r="A35" s="35"/>
      <c r="D35" s="302"/>
      <c r="E35" s="302"/>
      <c r="F35" s="376"/>
      <c r="G35" s="71"/>
      <c r="H35" s="201"/>
      <c r="I35" s="201"/>
      <c r="L35" s="441"/>
      <c r="M35" s="391"/>
      <c r="AQ35" s="62"/>
      <c r="AR35" s="62"/>
      <c r="AS35" s="62"/>
      <c r="AT35" s="62"/>
    </row>
    <row r="36" spans="1:46" s="30" customFormat="1">
      <c r="A36" s="30" t="s">
        <v>147</v>
      </c>
      <c r="D36" s="391"/>
      <c r="E36" s="391"/>
      <c r="F36" s="391"/>
      <c r="G36" s="304"/>
      <c r="H36" s="253"/>
      <c r="I36" s="253"/>
      <c r="K36" s="292"/>
      <c r="L36" s="441"/>
      <c r="M36" s="441"/>
    </row>
    <row r="37" spans="1:46" s="30" customFormat="1">
      <c r="A37" s="24" t="s">
        <v>148</v>
      </c>
      <c r="B37" s="24" t="s">
        <v>151</v>
      </c>
      <c r="C37" s="73"/>
      <c r="D37" s="376">
        <v>13751</v>
      </c>
      <c r="E37" s="376">
        <v>0</v>
      </c>
      <c r="F37" s="376">
        <v>0</v>
      </c>
      <c r="G37" s="201">
        <v>0</v>
      </c>
      <c r="H37" s="201">
        <v>0</v>
      </c>
      <c r="I37" s="201"/>
      <c r="K37" s="292"/>
      <c r="L37" s="62"/>
      <c r="M37" s="376"/>
    </row>
    <row r="38" spans="1:46" s="30" customFormat="1">
      <c r="A38" s="24" t="s">
        <v>149</v>
      </c>
      <c r="B38" s="24" t="s">
        <v>150</v>
      </c>
      <c r="C38" s="73"/>
      <c r="D38" s="387">
        <v>4040939</v>
      </c>
      <c r="E38" s="387">
        <v>4203845</v>
      </c>
      <c r="F38" s="387">
        <v>4373317</v>
      </c>
      <c r="G38" s="301">
        <v>4546879</v>
      </c>
      <c r="H38" s="301">
        <v>4546879</v>
      </c>
      <c r="I38" s="296"/>
      <c r="K38" s="292"/>
      <c r="L38" s="62"/>
      <c r="M38" s="376"/>
    </row>
    <row r="39" spans="1:46">
      <c r="A39" s="35"/>
      <c r="D39" s="302">
        <f t="shared" ref="D39:I39" si="4">SUM(D37:D38)</f>
        <v>4054690</v>
      </c>
      <c r="E39" s="302">
        <f t="shared" si="4"/>
        <v>4203845</v>
      </c>
      <c r="F39" s="302">
        <f t="shared" si="4"/>
        <v>4373317</v>
      </c>
      <c r="G39" s="22">
        <f t="shared" si="4"/>
        <v>4546879</v>
      </c>
      <c r="H39" s="22">
        <f>SUM(H37:H38)</f>
        <v>4546879</v>
      </c>
      <c r="I39" s="22">
        <f t="shared" si="4"/>
        <v>0</v>
      </c>
      <c r="L39" s="62"/>
      <c r="M39" s="376"/>
      <c r="O39" s="30"/>
    </row>
    <row r="40" spans="1:46" customFormat="1">
      <c r="E40" s="91"/>
      <c r="K40" s="291"/>
      <c r="L40" s="437"/>
      <c r="M40" s="442"/>
    </row>
    <row r="41" spans="1:46" customFormat="1">
      <c r="D41" s="288"/>
      <c r="E41" s="371"/>
      <c r="F41" s="288"/>
      <c r="G41" s="82"/>
      <c r="H41" s="82"/>
      <c r="I41" s="82"/>
      <c r="K41" s="291"/>
      <c r="L41" s="91"/>
      <c r="M41" s="91"/>
    </row>
    <row r="42" spans="1:46" customFormat="1">
      <c r="D42" s="82"/>
      <c r="E42" s="107"/>
      <c r="F42" s="82"/>
      <c r="G42" s="82"/>
      <c r="H42" s="82"/>
      <c r="I42" s="82"/>
      <c r="K42" s="291"/>
    </row>
    <row r="43" spans="1:46">
      <c r="D43" s="67"/>
      <c r="E43" s="68"/>
      <c r="F43" s="67"/>
      <c r="G43" s="67"/>
      <c r="H43" s="67"/>
      <c r="I43" s="67"/>
    </row>
    <row r="44" spans="1:46">
      <c r="D44" s="67"/>
      <c r="E44" s="68"/>
      <c r="F44" s="67"/>
      <c r="G44" s="67"/>
      <c r="H44" s="67"/>
      <c r="I44" s="67"/>
    </row>
    <row r="45" spans="1:46">
      <c r="D45" s="67"/>
      <c r="E45" s="68"/>
      <c r="F45" s="67"/>
      <c r="G45" s="67"/>
      <c r="H45" s="67"/>
      <c r="I45" s="67"/>
    </row>
    <row r="46" spans="1:46">
      <c r="D46" s="67"/>
      <c r="E46" s="68"/>
      <c r="F46" s="67"/>
      <c r="G46" s="67"/>
      <c r="H46" s="67"/>
      <c r="I46" s="67"/>
    </row>
    <row r="47" spans="1:46">
      <c r="D47" s="67"/>
      <c r="E47" s="68"/>
      <c r="F47" s="67"/>
      <c r="G47" s="67"/>
      <c r="H47" s="67"/>
      <c r="I47" s="67"/>
    </row>
    <row r="48" spans="1:46">
      <c r="D48" s="67"/>
      <c r="E48" s="68"/>
      <c r="F48" s="67"/>
      <c r="G48" s="67"/>
      <c r="H48" s="67"/>
      <c r="I48" s="67"/>
    </row>
    <row r="49" spans="4:9">
      <c r="D49" s="67"/>
      <c r="E49" s="68"/>
      <c r="F49" s="67"/>
      <c r="G49" s="67"/>
      <c r="H49" s="67"/>
      <c r="I49" s="67"/>
    </row>
  </sheetData>
  <phoneticPr fontId="0" type="noConversion"/>
  <printOptions horizontalCentered="1"/>
  <pageMargins left="0.45" right="0.35" top="0.75" bottom="1" header="0.3" footer="0.3"/>
  <pageSetup scale="73" orientation="landscape" r:id="rId1"/>
  <headerFooter>
    <oddFooter>&amp;L&amp;D FY25 Budget&amp;CPage 48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6"/>
  <sheetViews>
    <sheetView workbookViewId="0">
      <selection activeCell="H11" sqref="H11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9" width="14.42578125" style="24" customWidth="1"/>
    <col min="10" max="10" width="17.28515625" style="24" customWidth="1"/>
    <col min="11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1"/>
      <c r="E1" s="1"/>
      <c r="F1" s="1"/>
      <c r="G1" s="39"/>
      <c r="H1" s="39"/>
      <c r="I1" s="1"/>
    </row>
    <row r="2" spans="1:9">
      <c r="A2" s="30" t="s">
        <v>437</v>
      </c>
      <c r="D2" s="6"/>
      <c r="E2" s="6"/>
      <c r="F2" s="6"/>
      <c r="G2" s="6"/>
    </row>
    <row r="3" spans="1:9" ht="43.5" customHeight="1">
      <c r="A3" s="31"/>
      <c r="B3" s="32" t="s">
        <v>41</v>
      </c>
      <c r="C3" s="33" t="s">
        <v>0</v>
      </c>
      <c r="D3" s="33" t="str">
        <f>+'Dept 122'!D4</f>
        <v>FY22 Actual</v>
      </c>
      <c r="E3" s="33" t="str">
        <f>+'Dept 122'!E4</f>
        <v>FY23 Actual</v>
      </c>
      <c r="F3" s="33" t="str">
        <f>+'Dept 122'!F4</f>
        <v>FY24 Budget</v>
      </c>
      <c r="G3" s="33" t="str">
        <f>+'Dept 122'!G4</f>
        <v>FY25 Request</v>
      </c>
      <c r="H3" s="33" t="str">
        <f>+'Dept 122'!H4</f>
        <v>Town Manager Recommend</v>
      </c>
      <c r="I3" s="33" t="str">
        <f>+'Dept 122'!I4</f>
        <v>Advisory Board Recommend</v>
      </c>
    </row>
    <row r="5" spans="1:9">
      <c r="A5" s="34"/>
    </row>
    <row r="6" spans="1:9">
      <c r="D6" s="216"/>
      <c r="E6" s="216"/>
      <c r="F6" s="216"/>
      <c r="G6" s="216"/>
      <c r="H6" s="216"/>
      <c r="I6" s="216"/>
    </row>
    <row r="7" spans="1:9">
      <c r="A7" s="35"/>
      <c r="D7" s="29"/>
      <c r="E7" s="29"/>
      <c r="F7" s="29"/>
      <c r="G7" s="29"/>
      <c r="H7" s="29"/>
      <c r="I7" s="29"/>
    </row>
    <row r="8" spans="1:9">
      <c r="A8" s="35"/>
      <c r="D8" s="67"/>
      <c r="E8" s="67"/>
      <c r="F8" s="67"/>
      <c r="G8" s="67"/>
      <c r="H8" s="67"/>
      <c r="I8" s="67"/>
    </row>
    <row r="9" spans="1:9">
      <c r="A9" s="30" t="s">
        <v>209</v>
      </c>
      <c r="D9" s="67"/>
      <c r="E9" s="67"/>
      <c r="F9" s="67"/>
      <c r="G9" s="67"/>
      <c r="H9" s="67"/>
      <c r="I9" s="67"/>
    </row>
    <row r="10" spans="1:9">
      <c r="A10" s="35" t="s">
        <v>35</v>
      </c>
      <c r="B10" s="24" t="s">
        <v>233</v>
      </c>
      <c r="D10" s="68">
        <v>0</v>
      </c>
      <c r="E10" s="68">
        <v>14000</v>
      </c>
      <c r="F10" s="68">
        <v>25000</v>
      </c>
      <c r="G10" s="81">
        <f>25000</f>
        <v>25000</v>
      </c>
      <c r="H10" s="81">
        <v>25000</v>
      </c>
      <c r="I10" s="67"/>
    </row>
    <row r="11" spans="1:9">
      <c r="D11" s="79">
        <f t="shared" ref="D11:I11" si="0">SUM(D10:D10)</f>
        <v>0</v>
      </c>
      <c r="E11" s="79">
        <f t="shared" si="0"/>
        <v>14000</v>
      </c>
      <c r="F11" s="79">
        <f t="shared" si="0"/>
        <v>25000</v>
      </c>
      <c r="G11" s="79">
        <f t="shared" si="0"/>
        <v>25000</v>
      </c>
      <c r="H11" s="79">
        <f t="shared" si="0"/>
        <v>25000</v>
      </c>
      <c r="I11" s="79">
        <f t="shared" si="0"/>
        <v>0</v>
      </c>
    </row>
    <row r="12" spans="1:9">
      <c r="D12" s="29"/>
      <c r="E12" s="29"/>
      <c r="F12" s="29"/>
      <c r="G12" s="29"/>
      <c r="H12" s="29"/>
      <c r="I12" s="29"/>
    </row>
    <row r="13" spans="1:9">
      <c r="D13" s="67"/>
      <c r="E13" s="67"/>
      <c r="F13" s="67"/>
      <c r="G13" s="67"/>
      <c r="H13" s="67"/>
      <c r="I13" s="67"/>
    </row>
    <row r="14" spans="1:9">
      <c r="A14" s="30" t="s">
        <v>40</v>
      </c>
      <c r="D14" s="202">
        <f t="shared" ref="D14:I14" si="1">+D7+D11</f>
        <v>0</v>
      </c>
      <c r="E14" s="202">
        <f t="shared" si="1"/>
        <v>14000</v>
      </c>
      <c r="F14" s="202">
        <f t="shared" si="1"/>
        <v>25000</v>
      </c>
      <c r="G14" s="202">
        <f t="shared" si="1"/>
        <v>25000</v>
      </c>
      <c r="H14" s="202">
        <f t="shared" si="1"/>
        <v>25000</v>
      </c>
      <c r="I14" s="202">
        <f t="shared" si="1"/>
        <v>0</v>
      </c>
    </row>
    <row r="16" spans="1:9" customFormat="1">
      <c r="D16" s="312"/>
      <c r="E16" s="289"/>
      <c r="F16" s="289"/>
    </row>
    <row r="17" customFormat="1"/>
    <row r="18" customFormat="1"/>
    <row r="35" spans="46:59"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</row>
    <row r="36" spans="46:59">
      <c r="AT36" s="62"/>
      <c r="AU36" s="62"/>
      <c r="AV36" s="62"/>
      <c r="AW36" s="62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49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>
      <selection activeCell="B16" sqref="B16"/>
    </sheetView>
  </sheetViews>
  <sheetFormatPr defaultColWidth="9" defaultRowHeight="15"/>
  <cols>
    <col min="1" max="1" width="11.42578125" style="24" customWidth="1"/>
    <col min="2" max="2" width="25.42578125" style="24" customWidth="1"/>
    <col min="3" max="3" width="11" style="24" customWidth="1"/>
    <col min="4" max="8" width="14.42578125" style="36" customWidth="1"/>
    <col min="9" max="9" width="29.28515625" style="36" customWidth="1"/>
    <col min="10" max="16384" width="9" style="24"/>
  </cols>
  <sheetData>
    <row r="1" spans="1:10" s="2" customFormat="1">
      <c r="A1" s="1" t="str">
        <f>+Summary!A1</f>
        <v>Fiscal Year 2025 Budget Worksheet</v>
      </c>
      <c r="B1" s="1"/>
      <c r="C1" s="1"/>
      <c r="D1" s="1"/>
      <c r="E1" s="1"/>
      <c r="F1" s="1"/>
      <c r="G1" s="39"/>
      <c r="H1" s="39"/>
      <c r="I1" s="1"/>
    </row>
    <row r="2" spans="1:10">
      <c r="A2" s="30" t="s">
        <v>438</v>
      </c>
      <c r="D2" s="321"/>
      <c r="E2" s="321"/>
      <c r="F2" s="321"/>
      <c r="G2" s="321"/>
    </row>
    <row r="3" spans="1:10" ht="43.5" customHeight="1">
      <c r="A3" s="31"/>
      <c r="B3" s="32" t="s">
        <v>41</v>
      </c>
      <c r="C3" s="33" t="s">
        <v>0</v>
      </c>
      <c r="D3" s="33" t="s">
        <v>622</v>
      </c>
      <c r="E3" s="33" t="s">
        <v>659</v>
      </c>
      <c r="F3" s="33" t="s">
        <v>660</v>
      </c>
      <c r="G3" s="33" t="s">
        <v>661</v>
      </c>
      <c r="H3" s="33" t="s">
        <v>81</v>
      </c>
      <c r="I3" s="33" t="s">
        <v>82</v>
      </c>
    </row>
    <row r="5" spans="1:10">
      <c r="A5" s="72" t="s">
        <v>42</v>
      </c>
    </row>
    <row r="6" spans="1:10">
      <c r="A6" s="72" t="s">
        <v>230</v>
      </c>
      <c r="F6" s="63"/>
    </row>
    <row r="7" spans="1:10">
      <c r="A7" s="72"/>
      <c r="F7" s="459"/>
      <c r="G7" s="67"/>
    </row>
    <row r="8" spans="1:10">
      <c r="A8" s="74"/>
      <c r="B8" s="24" t="s">
        <v>265</v>
      </c>
      <c r="D8" s="393">
        <v>9329</v>
      </c>
      <c r="E8" s="393"/>
      <c r="F8" s="393">
        <v>45000</v>
      </c>
      <c r="G8" s="416">
        <v>45000</v>
      </c>
      <c r="H8" s="416">
        <v>45000</v>
      </c>
      <c r="I8" s="425"/>
      <c r="J8" s="322"/>
    </row>
    <row r="9" spans="1:10">
      <c r="A9" s="74"/>
      <c r="B9" s="24" t="s">
        <v>738</v>
      </c>
      <c r="D9" s="393">
        <v>0</v>
      </c>
      <c r="E9" s="393"/>
      <c r="F9" s="394">
        <v>0</v>
      </c>
      <c r="G9" s="471">
        <v>50000</v>
      </c>
      <c r="H9" s="471">
        <v>50000</v>
      </c>
      <c r="I9" s="24"/>
      <c r="J9" s="322"/>
    </row>
    <row r="10" spans="1:10">
      <c r="A10" s="74"/>
      <c r="B10" s="24" t="s">
        <v>587</v>
      </c>
      <c r="D10" s="393">
        <v>24952</v>
      </c>
      <c r="E10" s="393"/>
      <c r="F10" s="394">
        <v>45000</v>
      </c>
      <c r="G10" s="472">
        <v>45000</v>
      </c>
      <c r="H10" s="472">
        <v>45000</v>
      </c>
      <c r="I10" s="307"/>
      <c r="J10" s="425"/>
    </row>
    <row r="11" spans="1:10">
      <c r="A11" s="74"/>
      <c r="B11" s="24" t="s">
        <v>644</v>
      </c>
      <c r="D11" s="393"/>
      <c r="E11" s="393"/>
      <c r="F11" s="394">
        <v>25000</v>
      </c>
      <c r="G11" s="471">
        <v>0</v>
      </c>
      <c r="H11" s="471">
        <v>0</v>
      </c>
      <c r="I11" s="24"/>
      <c r="J11" s="322"/>
    </row>
    <row r="12" spans="1:10">
      <c r="A12" s="74"/>
      <c r="B12" s="24" t="s">
        <v>649</v>
      </c>
      <c r="D12" s="393"/>
      <c r="E12" s="393"/>
      <c r="F12" s="394">
        <v>10000</v>
      </c>
      <c r="G12" s="471">
        <v>10000</v>
      </c>
      <c r="H12" s="471">
        <v>10000</v>
      </c>
      <c r="I12" s="24"/>
      <c r="J12" s="322"/>
    </row>
    <row r="13" spans="1:10">
      <c r="A13" s="74"/>
      <c r="B13" s="24" t="s">
        <v>691</v>
      </c>
      <c r="D13" s="393"/>
      <c r="E13" s="393"/>
      <c r="F13" s="394"/>
      <c r="G13" s="471">
        <v>10000</v>
      </c>
      <c r="H13" s="471">
        <v>10000</v>
      </c>
      <c r="I13" s="24"/>
      <c r="J13" s="322"/>
    </row>
    <row r="14" spans="1:10">
      <c r="A14" s="74"/>
      <c r="B14" s="24" t="s">
        <v>650</v>
      </c>
      <c r="D14" s="393"/>
      <c r="E14" s="393"/>
      <c r="F14" s="394">
        <v>100000</v>
      </c>
      <c r="G14" s="416">
        <v>0</v>
      </c>
      <c r="H14" s="416">
        <v>0</v>
      </c>
      <c r="I14" s="24"/>
      <c r="J14" s="322"/>
    </row>
    <row r="15" spans="1:10">
      <c r="A15" s="74"/>
      <c r="B15" s="24" t="s">
        <v>766</v>
      </c>
      <c r="D15" s="393"/>
      <c r="E15" s="393"/>
      <c r="F15" s="394"/>
      <c r="G15" s="416">
        <v>66000</v>
      </c>
      <c r="H15" s="416">
        <v>66000</v>
      </c>
      <c r="I15" s="24"/>
      <c r="J15" s="322"/>
    </row>
    <row r="16" spans="1:10">
      <c r="A16" s="74"/>
      <c r="D16" s="393"/>
      <c r="E16" s="393"/>
      <c r="F16" s="394"/>
      <c r="G16" s="416"/>
      <c r="H16" s="416"/>
      <c r="I16" s="24"/>
      <c r="J16" s="322"/>
    </row>
    <row r="17" spans="1:12">
      <c r="A17" s="72" t="s">
        <v>231</v>
      </c>
      <c r="D17" s="393"/>
      <c r="E17" s="393"/>
      <c r="F17" s="394"/>
      <c r="G17" s="416"/>
      <c r="H17" s="416"/>
      <c r="I17" s="24"/>
      <c r="J17" s="322"/>
    </row>
    <row r="18" spans="1:12">
      <c r="A18" s="74"/>
      <c r="B18" s="24" t="s">
        <v>258</v>
      </c>
      <c r="D18" s="393">
        <v>83745</v>
      </c>
      <c r="E18" s="393"/>
      <c r="F18" s="394">
        <v>140000</v>
      </c>
      <c r="G18" s="416">
        <v>140000</v>
      </c>
      <c r="H18" s="416">
        <v>140000</v>
      </c>
      <c r="I18" s="416"/>
      <c r="J18" s="322"/>
      <c r="K18" s="416"/>
      <c r="L18" s="322"/>
    </row>
    <row r="19" spans="1:12">
      <c r="A19" s="74"/>
      <c r="D19" s="393"/>
      <c r="E19" s="393"/>
      <c r="F19" s="394"/>
      <c r="G19" s="416"/>
      <c r="H19" s="416"/>
      <c r="I19" s="416"/>
      <c r="J19" s="322"/>
      <c r="K19" s="416"/>
      <c r="L19" s="322"/>
    </row>
    <row r="20" spans="1:12">
      <c r="A20" s="72" t="s">
        <v>164</v>
      </c>
      <c r="D20" s="393"/>
      <c r="E20" s="393"/>
      <c r="F20" s="394"/>
      <c r="G20" s="416"/>
      <c r="H20" s="416"/>
      <c r="I20" s="416"/>
      <c r="J20" s="322"/>
      <c r="K20" s="416"/>
      <c r="L20" s="322"/>
    </row>
    <row r="21" spans="1:12">
      <c r="A21" s="35"/>
      <c r="B21" s="24" t="s">
        <v>228</v>
      </c>
      <c r="C21" s="73"/>
      <c r="D21" s="393">
        <v>103000</v>
      </c>
      <c r="E21" s="393"/>
      <c r="F21" s="394">
        <v>105000</v>
      </c>
      <c r="G21" s="416">
        <v>130000</v>
      </c>
      <c r="H21" s="416">
        <v>130000</v>
      </c>
      <c r="I21" s="416"/>
      <c r="J21" s="425"/>
      <c r="K21" s="416"/>
      <c r="L21" s="322"/>
    </row>
    <row r="22" spans="1:12">
      <c r="A22" s="35"/>
      <c r="C22" s="73"/>
      <c r="D22" s="393"/>
      <c r="E22" s="393"/>
      <c r="F22" s="394"/>
      <c r="G22" s="416"/>
      <c r="H22" s="416"/>
      <c r="I22" s="416"/>
      <c r="J22" s="425"/>
      <c r="K22" s="416"/>
      <c r="L22" s="322"/>
    </row>
    <row r="23" spans="1:12">
      <c r="A23" s="30" t="s">
        <v>121</v>
      </c>
      <c r="C23" s="73"/>
      <c r="D23" s="393"/>
      <c r="E23" s="393"/>
      <c r="F23" s="393"/>
      <c r="G23" s="407"/>
      <c r="H23" s="407"/>
      <c r="I23" s="322"/>
      <c r="J23" s="322"/>
      <c r="K23" s="407"/>
      <c r="L23" s="322"/>
    </row>
    <row r="24" spans="1:12">
      <c r="A24" s="35"/>
      <c r="B24" s="24" t="s">
        <v>727</v>
      </c>
      <c r="C24" s="73"/>
      <c r="D24" s="393">
        <v>54979</v>
      </c>
      <c r="E24" s="393"/>
      <c r="F24" s="393">
        <v>10000</v>
      </c>
      <c r="G24" s="407">
        <v>10000</v>
      </c>
      <c r="H24" s="407">
        <v>10000</v>
      </c>
      <c r="I24" s="322"/>
      <c r="J24" s="322"/>
      <c r="K24" s="407"/>
      <c r="L24" s="322"/>
    </row>
    <row r="25" spans="1:12">
      <c r="A25" s="35"/>
      <c r="B25" s="24" t="s">
        <v>740</v>
      </c>
      <c r="C25" s="73"/>
      <c r="D25" s="393"/>
      <c r="E25" s="393"/>
      <c r="F25" s="393"/>
      <c r="G25" s="407">
        <v>120000</v>
      </c>
      <c r="H25" s="407">
        <v>120000</v>
      </c>
      <c r="I25" s="322"/>
      <c r="J25" s="322"/>
      <c r="K25" s="407"/>
      <c r="L25" s="322"/>
    </row>
    <row r="26" spans="1:12">
      <c r="A26" s="35"/>
      <c r="C26" s="73"/>
      <c r="D26" s="393"/>
      <c r="E26" s="393"/>
      <c r="F26" s="393"/>
      <c r="G26" s="407"/>
      <c r="H26" s="407"/>
      <c r="I26" s="322"/>
      <c r="J26" s="322"/>
      <c r="K26" s="407"/>
      <c r="L26" s="322"/>
    </row>
    <row r="27" spans="1:12">
      <c r="A27" s="30" t="s">
        <v>196</v>
      </c>
      <c r="C27" s="73"/>
      <c r="D27" s="393"/>
      <c r="E27" s="393"/>
      <c r="F27" s="393"/>
      <c r="G27" s="407"/>
      <c r="H27" s="407"/>
      <c r="I27" s="322"/>
      <c r="J27" s="322"/>
      <c r="K27" s="407"/>
      <c r="L27" s="322"/>
    </row>
    <row r="28" spans="1:12">
      <c r="A28" s="74"/>
      <c r="B28" s="24" t="s">
        <v>258</v>
      </c>
      <c r="D28" s="393">
        <v>0</v>
      </c>
      <c r="E28" s="393"/>
      <c r="F28" s="393">
        <v>40000</v>
      </c>
      <c r="G28" s="416">
        <v>40000</v>
      </c>
      <c r="H28" s="416">
        <v>40000</v>
      </c>
      <c r="I28" s="322"/>
      <c r="J28" s="322"/>
      <c r="K28" s="416"/>
      <c r="L28" s="322"/>
    </row>
    <row r="29" spans="1:12">
      <c r="A29" s="35"/>
      <c r="C29" s="73"/>
      <c r="D29" s="393"/>
      <c r="E29" s="393"/>
      <c r="F29" s="393"/>
      <c r="G29" s="408"/>
      <c r="H29" s="408"/>
      <c r="I29" s="322"/>
      <c r="J29" s="322"/>
      <c r="K29" s="408"/>
      <c r="L29" s="322"/>
    </row>
    <row r="30" spans="1:12">
      <c r="A30" s="30" t="s">
        <v>99</v>
      </c>
      <c r="C30" s="73"/>
      <c r="D30" s="393"/>
      <c r="E30" s="393"/>
      <c r="F30" s="393"/>
      <c r="G30" s="408"/>
      <c r="H30" s="408"/>
      <c r="I30" s="322"/>
      <c r="J30" s="322"/>
    </row>
    <row r="31" spans="1:12">
      <c r="A31" s="35"/>
      <c r="B31" s="24" t="s">
        <v>79</v>
      </c>
      <c r="C31" s="73"/>
      <c r="D31" s="393">
        <v>6440</v>
      </c>
      <c r="E31" s="393"/>
      <c r="F31" s="393">
        <v>20000</v>
      </c>
      <c r="G31" s="416">
        <v>20000</v>
      </c>
      <c r="H31" s="416">
        <v>20000</v>
      </c>
      <c r="I31" s="322"/>
      <c r="J31" s="322"/>
    </row>
    <row r="32" spans="1:12">
      <c r="A32" s="35"/>
      <c r="C32" s="73"/>
      <c r="D32" s="393"/>
      <c r="E32" s="393"/>
      <c r="F32" s="393"/>
      <c r="G32" s="407"/>
      <c r="H32" s="407"/>
      <c r="I32" s="322"/>
      <c r="J32" s="322"/>
    </row>
    <row r="33" spans="1:10">
      <c r="A33" s="30" t="s">
        <v>200</v>
      </c>
      <c r="C33" s="73"/>
      <c r="D33" s="322"/>
      <c r="E33" s="322"/>
      <c r="F33" s="322"/>
      <c r="G33" s="407"/>
      <c r="H33" s="407"/>
      <c r="I33" s="322"/>
      <c r="J33" s="322"/>
    </row>
    <row r="34" spans="1:10">
      <c r="B34" s="24" t="s">
        <v>469</v>
      </c>
      <c r="C34" s="73"/>
      <c r="D34" s="322">
        <v>27655</v>
      </c>
      <c r="E34" s="322"/>
      <c r="F34" s="322">
        <v>0</v>
      </c>
      <c r="G34" s="473">
        <v>54000</v>
      </c>
      <c r="H34" s="473">
        <v>54000</v>
      </c>
      <c r="I34" s="322"/>
      <c r="J34" s="322"/>
    </row>
    <row r="35" spans="1:10">
      <c r="C35" s="73"/>
      <c r="D35" s="322"/>
      <c r="E35" s="322"/>
      <c r="F35" s="322"/>
      <c r="G35" s="473"/>
      <c r="H35" s="473"/>
      <c r="I35" s="322"/>
      <c r="J35" s="322"/>
    </row>
    <row r="36" spans="1:10">
      <c r="A36" s="30" t="s">
        <v>201</v>
      </c>
      <c r="C36" s="73"/>
      <c r="D36" s="322"/>
      <c r="E36" s="322"/>
      <c r="F36" s="322"/>
      <c r="G36" s="473"/>
      <c r="H36" s="473"/>
      <c r="I36" s="322"/>
      <c r="J36" s="322"/>
    </row>
    <row r="37" spans="1:10">
      <c r="B37" s="24" t="s">
        <v>751</v>
      </c>
      <c r="C37" s="73"/>
      <c r="D37" s="322"/>
      <c r="E37" s="322"/>
      <c r="F37" s="322"/>
      <c r="G37" s="473">
        <v>25000</v>
      </c>
      <c r="H37" s="473">
        <v>25000</v>
      </c>
      <c r="I37" s="322"/>
      <c r="J37" s="322"/>
    </row>
    <row r="38" spans="1:10">
      <c r="A38" s="35"/>
      <c r="C38" s="73"/>
      <c r="D38" s="322"/>
      <c r="E38" s="322"/>
      <c r="F38" s="322"/>
      <c r="G38" s="322"/>
      <c r="H38" s="322"/>
      <c r="I38" s="322"/>
      <c r="J38" s="322"/>
    </row>
    <row r="39" spans="1:10">
      <c r="A39" s="30" t="s">
        <v>229</v>
      </c>
      <c r="D39" s="202">
        <f>SUM(D8:D38)</f>
        <v>310100</v>
      </c>
      <c r="E39" s="202">
        <f>SUM(E8:E38)</f>
        <v>0</v>
      </c>
      <c r="F39" s="202">
        <f>SUM(F8:F38)</f>
        <v>540000</v>
      </c>
      <c r="G39" s="202">
        <f>SUM(G7:G38)</f>
        <v>765000</v>
      </c>
      <c r="H39" s="202">
        <f>SUM(H8:H38)</f>
        <v>765000</v>
      </c>
      <c r="I39" s="202">
        <f>SUM(I8:I38)</f>
        <v>0</v>
      </c>
    </row>
    <row r="40" spans="1:10">
      <c r="C40" s="73"/>
      <c r="G40" s="202"/>
    </row>
    <row r="41" spans="1:10">
      <c r="D41" s="314"/>
      <c r="F41" s="37"/>
      <c r="G41" s="37"/>
      <c r="H41" s="37"/>
    </row>
    <row r="42" spans="1:10">
      <c r="D42" s="38"/>
      <c r="E42" s="38"/>
      <c r="F42" s="38" t="s">
        <v>0</v>
      </c>
      <c r="G42" s="38"/>
      <c r="H42" s="38" t="s">
        <v>0</v>
      </c>
      <c r="I42" s="38" t="s">
        <v>0</v>
      </c>
    </row>
    <row r="43" spans="1:10">
      <c r="G43" s="438"/>
    </row>
    <row r="44" spans="1:10">
      <c r="G44" s="438"/>
    </row>
  </sheetData>
  <phoneticPr fontId="0" type="noConversion"/>
  <printOptions horizontalCentered="1" gridLines="1"/>
  <pageMargins left="0.45" right="0.35" top="0.75" bottom="1" header="0.3" footer="0.3"/>
  <pageSetup scale="73" orientation="landscape" r:id="rId1"/>
  <headerFooter>
    <oddFooter>&amp;L&amp;D FY25 Budget&amp;CPage 50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4"/>
  <sheetViews>
    <sheetView showWhiteSpace="0" topLeftCell="A19" workbookViewId="0">
      <selection activeCell="H49" sqref="H49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2.5703125" style="24" customWidth="1"/>
    <col min="4" max="5" width="14.42578125" style="62" customWidth="1"/>
    <col min="6" max="9" width="14.42578125" style="24" customWidth="1"/>
    <col min="10" max="10" width="9" style="24"/>
    <col min="11" max="12" width="10.7109375" style="24" bestFit="1" customWidth="1"/>
    <col min="13" max="13" width="9" style="24"/>
    <col min="14" max="14" width="10.7109375" style="24" bestFit="1" customWidth="1"/>
    <col min="15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367</v>
      </c>
    </row>
    <row r="3" spans="1:9">
      <c r="A3" s="30" t="s">
        <v>133</v>
      </c>
      <c r="D3" s="93"/>
      <c r="E3" s="93"/>
      <c r="F3" s="6"/>
      <c r="G3" s="6"/>
    </row>
    <row r="4" spans="1:9" ht="29.2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68">
        <v>78910</v>
      </c>
      <c r="E7" s="68">
        <v>82264</v>
      </c>
      <c r="F7" s="67">
        <v>84659</v>
      </c>
      <c r="G7" s="67">
        <f>'Pers Harbor'!N17</f>
        <v>89659</v>
      </c>
      <c r="H7" s="67">
        <v>89659</v>
      </c>
      <c r="I7" s="67"/>
    </row>
    <row r="8" spans="1:9">
      <c r="A8" s="35" t="s">
        <v>2</v>
      </c>
      <c r="B8" s="24" t="s">
        <v>46</v>
      </c>
      <c r="D8" s="68">
        <v>13223</v>
      </c>
      <c r="E8" s="68">
        <v>14198</v>
      </c>
      <c r="F8" s="67">
        <v>23000</v>
      </c>
      <c r="G8" s="67">
        <f>'Pers Harbor'!N18</f>
        <v>21000</v>
      </c>
      <c r="H8" s="67">
        <v>21000</v>
      </c>
      <c r="I8" s="67"/>
    </row>
    <row r="9" spans="1:9">
      <c r="A9" s="35" t="s">
        <v>6</v>
      </c>
      <c r="B9" s="24" t="s">
        <v>91</v>
      </c>
      <c r="D9" s="68">
        <v>1600</v>
      </c>
      <c r="E9" s="68">
        <v>1600</v>
      </c>
      <c r="F9" s="67">
        <v>1850</v>
      </c>
      <c r="G9" s="67">
        <f>'Pers Harbor'!N19</f>
        <v>1850</v>
      </c>
      <c r="H9" s="67">
        <v>1850</v>
      </c>
      <c r="I9" s="67"/>
    </row>
    <row r="10" spans="1:9">
      <c r="A10" s="74">
        <v>5190</v>
      </c>
      <c r="B10" s="24" t="s">
        <v>345</v>
      </c>
      <c r="D10" s="68">
        <v>1466</v>
      </c>
      <c r="E10" s="68">
        <v>1466</v>
      </c>
      <c r="F10" s="67">
        <v>1628</v>
      </c>
      <c r="G10" s="67">
        <f>'Pers Harbor'!N20</f>
        <v>1724</v>
      </c>
      <c r="H10" s="67">
        <v>1724</v>
      </c>
      <c r="I10" s="67"/>
    </row>
    <row r="11" spans="1:9">
      <c r="A11" s="74">
        <v>5199</v>
      </c>
      <c r="B11" s="24" t="s">
        <v>52</v>
      </c>
      <c r="D11" s="68">
        <v>0</v>
      </c>
      <c r="E11" s="68">
        <v>0</v>
      </c>
      <c r="F11" s="67">
        <v>0</v>
      </c>
      <c r="G11" s="67">
        <f>'Pers Harbor'!N21</f>
        <v>0</v>
      </c>
      <c r="H11" s="67">
        <v>0</v>
      </c>
      <c r="I11" s="67"/>
    </row>
    <row r="12" spans="1:9">
      <c r="A12" s="35"/>
      <c r="D12" s="94">
        <f t="shared" ref="D12:I12" si="0">SUM(D7:D11)</f>
        <v>95199</v>
      </c>
      <c r="E12" s="94">
        <f t="shared" si="0"/>
        <v>99528</v>
      </c>
      <c r="F12" s="79">
        <f t="shared" si="0"/>
        <v>111137</v>
      </c>
      <c r="G12" s="79">
        <f t="shared" si="0"/>
        <v>114233</v>
      </c>
      <c r="H12" s="79">
        <f>SUM(H7:H11)</f>
        <v>114233</v>
      </c>
      <c r="I12" s="79">
        <f t="shared" si="0"/>
        <v>0</v>
      </c>
    </row>
    <row r="13" spans="1:9">
      <c r="A13" s="30" t="s">
        <v>44</v>
      </c>
      <c r="D13" s="68"/>
      <c r="E13" s="68"/>
      <c r="F13" s="67"/>
      <c r="G13" s="67"/>
      <c r="H13" s="67"/>
      <c r="I13" s="67"/>
    </row>
    <row r="14" spans="1:9">
      <c r="A14" s="35" t="s">
        <v>11</v>
      </c>
      <c r="B14" s="24" t="s">
        <v>526</v>
      </c>
      <c r="D14" s="68">
        <v>1495</v>
      </c>
      <c r="E14" s="68">
        <v>1495</v>
      </c>
      <c r="F14" s="67">
        <v>2000</v>
      </c>
      <c r="G14" s="67">
        <v>3000</v>
      </c>
      <c r="H14" s="67">
        <v>3000</v>
      </c>
      <c r="I14" s="67"/>
    </row>
    <row r="15" spans="1:9">
      <c r="A15" s="35" t="s">
        <v>13</v>
      </c>
      <c r="B15" s="24" t="s">
        <v>53</v>
      </c>
      <c r="D15" s="68">
        <v>11985</v>
      </c>
      <c r="E15" s="68">
        <v>15434</v>
      </c>
      <c r="F15" s="67">
        <v>16000</v>
      </c>
      <c r="G15" s="67">
        <v>16000</v>
      </c>
      <c r="H15" s="67">
        <v>16000</v>
      </c>
      <c r="I15" s="67"/>
    </row>
    <row r="16" spans="1:9">
      <c r="A16" s="35" t="s">
        <v>15</v>
      </c>
      <c r="B16" s="24" t="s">
        <v>55</v>
      </c>
      <c r="D16" s="68">
        <v>0</v>
      </c>
      <c r="E16" s="68">
        <v>0</v>
      </c>
      <c r="F16" s="67">
        <v>0</v>
      </c>
      <c r="G16" s="67">
        <v>0</v>
      </c>
      <c r="H16" s="67">
        <v>0</v>
      </c>
      <c r="I16" s="67"/>
    </row>
    <row r="17" spans="1:59">
      <c r="A17" s="35"/>
      <c r="D17" s="94">
        <f t="shared" ref="D17:I17" si="1">SUM(D14:D16)</f>
        <v>13480</v>
      </c>
      <c r="E17" s="94">
        <f t="shared" si="1"/>
        <v>16929</v>
      </c>
      <c r="F17" s="79">
        <f t="shared" si="1"/>
        <v>18000</v>
      </c>
      <c r="G17" s="79">
        <f t="shared" si="1"/>
        <v>19000</v>
      </c>
      <c r="H17" s="79">
        <f t="shared" ref="H17" si="2">SUM(H14:H16)</f>
        <v>19000</v>
      </c>
      <c r="I17" s="79">
        <f t="shared" si="1"/>
        <v>0</v>
      </c>
    </row>
    <row r="18" spans="1:59">
      <c r="A18" s="35"/>
      <c r="D18" s="68"/>
      <c r="E18" s="68"/>
      <c r="F18" s="67"/>
      <c r="G18" s="67"/>
      <c r="H18" s="67"/>
      <c r="I18" s="67"/>
    </row>
    <row r="19" spans="1:59">
      <c r="A19" s="35" t="s">
        <v>16</v>
      </c>
      <c r="B19" s="24" t="s">
        <v>56</v>
      </c>
      <c r="D19" s="68">
        <v>0</v>
      </c>
      <c r="E19" s="68">
        <v>0</v>
      </c>
      <c r="F19" s="67">
        <v>8000</v>
      </c>
      <c r="G19" s="67">
        <v>8000</v>
      </c>
      <c r="H19" s="67">
        <v>8000</v>
      </c>
      <c r="I19" s="67"/>
    </row>
    <row r="20" spans="1:59">
      <c r="A20" s="35" t="s">
        <v>18</v>
      </c>
      <c r="B20" s="24" t="s">
        <v>58</v>
      </c>
      <c r="D20" s="68">
        <v>4827</v>
      </c>
      <c r="E20" s="68">
        <v>4506</v>
      </c>
      <c r="F20" s="67">
        <v>5400</v>
      </c>
      <c r="G20" s="67">
        <v>5400</v>
      </c>
      <c r="H20" s="67">
        <v>5400</v>
      </c>
      <c r="I20" s="67"/>
    </row>
    <row r="21" spans="1:59">
      <c r="A21" s="35" t="s">
        <v>20</v>
      </c>
      <c r="B21" s="24" t="s">
        <v>59</v>
      </c>
      <c r="D21" s="68">
        <v>4719</v>
      </c>
      <c r="E21" s="68">
        <v>4000</v>
      </c>
      <c r="F21" s="67">
        <v>0</v>
      </c>
      <c r="G21" s="67">
        <v>0</v>
      </c>
      <c r="H21" s="67">
        <v>0</v>
      </c>
      <c r="I21" s="67"/>
    </row>
    <row r="22" spans="1:59">
      <c r="A22" s="35"/>
      <c r="D22" s="94">
        <f t="shared" ref="D22:I22" si="3">SUM(D19:D21)</f>
        <v>9546</v>
      </c>
      <c r="E22" s="94">
        <f t="shared" si="3"/>
        <v>8506</v>
      </c>
      <c r="F22" s="79">
        <f t="shared" si="3"/>
        <v>13400</v>
      </c>
      <c r="G22" s="79">
        <f t="shared" si="3"/>
        <v>13400</v>
      </c>
      <c r="H22" s="79">
        <f t="shared" ref="H22" si="4">SUM(H19:H21)</f>
        <v>13400</v>
      </c>
      <c r="I22" s="79">
        <f t="shared" si="3"/>
        <v>0</v>
      </c>
    </row>
    <row r="23" spans="1:59">
      <c r="A23" s="30" t="s">
        <v>43</v>
      </c>
      <c r="B23" s="24" t="s">
        <v>0</v>
      </c>
      <c r="D23" s="68"/>
      <c r="E23" s="68"/>
      <c r="F23" s="67"/>
      <c r="G23" s="67"/>
      <c r="H23" s="67"/>
      <c r="I23" s="67"/>
    </row>
    <row r="24" spans="1:59">
      <c r="A24" s="35" t="s">
        <v>21</v>
      </c>
      <c r="B24" s="24" t="s">
        <v>60</v>
      </c>
      <c r="D24" s="68">
        <v>1232</v>
      </c>
      <c r="E24" s="68">
        <v>1448</v>
      </c>
      <c r="F24" s="67">
        <v>2500</v>
      </c>
      <c r="G24" s="67">
        <v>2500</v>
      </c>
      <c r="H24" s="67">
        <v>2500</v>
      </c>
      <c r="I24" s="67"/>
    </row>
    <row r="25" spans="1:59">
      <c r="A25" s="35" t="s">
        <v>22</v>
      </c>
      <c r="B25" s="24" t="s">
        <v>61</v>
      </c>
      <c r="D25" s="68">
        <v>4152</v>
      </c>
      <c r="E25" s="68">
        <v>15517</v>
      </c>
      <c r="F25" s="67">
        <v>12000</v>
      </c>
      <c r="G25" s="67">
        <v>12000</v>
      </c>
      <c r="H25" s="67">
        <v>12000</v>
      </c>
      <c r="I25" s="67"/>
    </row>
    <row r="26" spans="1:59">
      <c r="A26" s="35" t="s">
        <v>25</v>
      </c>
      <c r="B26" s="24" t="s">
        <v>64</v>
      </c>
      <c r="D26" s="68">
        <v>2733</v>
      </c>
      <c r="E26" s="68">
        <v>3103</v>
      </c>
      <c r="F26" s="67">
        <v>5000</v>
      </c>
      <c r="G26" s="67">
        <v>5000</v>
      </c>
      <c r="H26" s="67">
        <v>5000</v>
      </c>
      <c r="I26" s="67"/>
    </row>
    <row r="27" spans="1:59">
      <c r="A27" s="74">
        <v>5482</v>
      </c>
      <c r="B27" s="24" t="s">
        <v>390</v>
      </c>
      <c r="D27" s="68">
        <v>2825</v>
      </c>
      <c r="E27" s="68">
        <v>1960</v>
      </c>
      <c r="F27" s="67">
        <v>2500</v>
      </c>
      <c r="G27" s="67">
        <v>2500</v>
      </c>
      <c r="H27" s="67">
        <v>2500</v>
      </c>
      <c r="I27" s="67"/>
    </row>
    <row r="28" spans="1:59">
      <c r="A28" s="35" t="s">
        <v>28</v>
      </c>
      <c r="B28" s="24" t="s">
        <v>67</v>
      </c>
      <c r="D28" s="68">
        <v>0</v>
      </c>
      <c r="E28" s="68">
        <v>0</v>
      </c>
      <c r="F28" s="67">
        <v>600</v>
      </c>
      <c r="G28" s="67">
        <v>0</v>
      </c>
      <c r="H28" s="67">
        <v>0</v>
      </c>
      <c r="I28" s="67"/>
    </row>
    <row r="29" spans="1:59">
      <c r="A29" s="35" t="s">
        <v>30</v>
      </c>
      <c r="B29" s="24" t="s">
        <v>69</v>
      </c>
      <c r="D29" s="68">
        <v>5890</v>
      </c>
      <c r="E29" s="68">
        <v>5751</v>
      </c>
      <c r="F29" s="67">
        <v>5000</v>
      </c>
      <c r="G29" s="67">
        <v>5000</v>
      </c>
      <c r="H29" s="67">
        <v>5000</v>
      </c>
      <c r="I29" s="67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</row>
    <row r="30" spans="1:59">
      <c r="A30" s="35"/>
      <c r="D30" s="94">
        <f t="shared" ref="D30:I30" si="5">SUM(D24:D29)</f>
        <v>16832</v>
      </c>
      <c r="E30" s="94">
        <f t="shared" si="5"/>
        <v>27779</v>
      </c>
      <c r="F30" s="79">
        <f t="shared" si="5"/>
        <v>27600</v>
      </c>
      <c r="G30" s="79">
        <f>SUM(G24:G29)</f>
        <v>27000</v>
      </c>
      <c r="H30" s="79">
        <f t="shared" ref="H30" si="6">SUM(H24:H29)</f>
        <v>27000</v>
      </c>
      <c r="I30" s="79">
        <f t="shared" si="5"/>
        <v>0</v>
      </c>
      <c r="AT30" s="62"/>
      <c r="AU30" s="62"/>
      <c r="AV30" s="62"/>
      <c r="AW30" s="62"/>
    </row>
    <row r="31" spans="1:59">
      <c r="A31" s="30" t="s">
        <v>39</v>
      </c>
      <c r="D31" s="68"/>
      <c r="E31" s="68"/>
      <c r="F31" s="67"/>
      <c r="G31" s="67"/>
      <c r="H31" s="67"/>
      <c r="I31" s="67"/>
    </row>
    <row r="32" spans="1:59">
      <c r="A32" s="35" t="s">
        <v>33</v>
      </c>
      <c r="B32" s="24" t="s">
        <v>71</v>
      </c>
      <c r="D32" s="68">
        <v>250</v>
      </c>
      <c r="E32" s="68">
        <v>0</v>
      </c>
      <c r="F32" s="67">
        <v>200</v>
      </c>
      <c r="G32" s="67">
        <v>200</v>
      </c>
      <c r="H32" s="67">
        <v>200</v>
      </c>
      <c r="I32" s="67"/>
    </row>
    <row r="33" spans="1:15">
      <c r="A33" s="74">
        <v>5740</v>
      </c>
      <c r="B33" s="24" t="s">
        <v>72</v>
      </c>
      <c r="D33" s="68">
        <v>22502</v>
      </c>
      <c r="E33" s="68">
        <v>23612</v>
      </c>
      <c r="F33" s="67">
        <v>25500</v>
      </c>
      <c r="G33" s="67">
        <v>26000</v>
      </c>
      <c r="H33" s="67">
        <v>26000</v>
      </c>
      <c r="I33" s="67"/>
    </row>
    <row r="34" spans="1:15">
      <c r="A34" s="74" t="s">
        <v>212</v>
      </c>
      <c r="B34" s="24" t="s">
        <v>744</v>
      </c>
      <c r="D34" s="68">
        <v>64000</v>
      </c>
      <c r="E34" s="68">
        <v>67000</v>
      </c>
      <c r="F34" s="67">
        <v>70000</v>
      </c>
      <c r="G34" s="67">
        <v>70000</v>
      </c>
      <c r="H34" s="67">
        <v>70000</v>
      </c>
      <c r="I34" s="67"/>
    </row>
    <row r="35" spans="1:15">
      <c r="A35" s="74" t="s">
        <v>260</v>
      </c>
      <c r="B35" s="24" t="s">
        <v>261</v>
      </c>
      <c r="D35" s="68">
        <v>5000</v>
      </c>
      <c r="E35" s="68">
        <v>5000</v>
      </c>
      <c r="F35" s="67">
        <v>5000</v>
      </c>
      <c r="G35" s="67">
        <v>5000</v>
      </c>
      <c r="H35" s="67">
        <v>5000</v>
      </c>
      <c r="I35" s="67"/>
    </row>
    <row r="36" spans="1:15">
      <c r="A36" s="35"/>
      <c r="D36" s="94">
        <f t="shared" ref="D36:I36" si="7">SUM(D32:D35)</f>
        <v>91752</v>
      </c>
      <c r="E36" s="94">
        <f t="shared" si="7"/>
        <v>95612</v>
      </c>
      <c r="F36" s="79">
        <f t="shared" si="7"/>
        <v>100700</v>
      </c>
      <c r="G36" s="79">
        <f>SUM(G32:G35)</f>
        <v>101200</v>
      </c>
      <c r="H36" s="79">
        <f t="shared" ref="H36" si="8">SUM(H32:H35)</f>
        <v>101200</v>
      </c>
      <c r="I36" s="79">
        <f t="shared" si="7"/>
        <v>0</v>
      </c>
    </row>
    <row r="37" spans="1:15">
      <c r="A37" s="30" t="s">
        <v>241</v>
      </c>
      <c r="D37" s="250"/>
      <c r="E37" s="250"/>
      <c r="F37" s="29"/>
      <c r="G37" s="29"/>
      <c r="H37" s="29"/>
      <c r="I37" s="29"/>
    </row>
    <row r="38" spans="1:15">
      <c r="A38" s="74" t="s">
        <v>217</v>
      </c>
      <c r="B38" s="24" t="s">
        <v>545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/>
    </row>
    <row r="39" spans="1:15">
      <c r="A39" s="74" t="s">
        <v>218</v>
      </c>
      <c r="B39" s="24" t="s">
        <v>546</v>
      </c>
      <c r="D39" s="68">
        <v>0</v>
      </c>
      <c r="E39" s="68">
        <v>0</v>
      </c>
      <c r="F39" s="68">
        <v>42000</v>
      </c>
      <c r="G39" s="68">
        <v>42000</v>
      </c>
      <c r="H39" s="68">
        <v>42000</v>
      </c>
      <c r="I39" s="68"/>
    </row>
    <row r="40" spans="1:15">
      <c r="A40" s="74" t="s">
        <v>243</v>
      </c>
      <c r="B40" s="24" t="s">
        <v>242</v>
      </c>
      <c r="D40" s="249">
        <v>0</v>
      </c>
      <c r="E40" s="249">
        <v>0</v>
      </c>
      <c r="F40" s="249">
        <v>0</v>
      </c>
      <c r="G40" s="249">
        <v>0</v>
      </c>
      <c r="H40" s="249">
        <v>0</v>
      </c>
      <c r="I40" s="249"/>
    </row>
    <row r="41" spans="1:15">
      <c r="A41" s="35"/>
      <c r="D41" s="250">
        <f t="shared" ref="D41:I41" si="9">SUM(D38:D40)</f>
        <v>0</v>
      </c>
      <c r="E41" s="250">
        <f t="shared" si="9"/>
        <v>0</v>
      </c>
      <c r="F41" s="29">
        <f t="shared" si="9"/>
        <v>42000</v>
      </c>
      <c r="G41" s="29">
        <f t="shared" si="9"/>
        <v>42000</v>
      </c>
      <c r="H41" s="29">
        <f t="shared" ref="H41" si="10">SUM(H38:H40)</f>
        <v>42000</v>
      </c>
      <c r="I41" s="29">
        <f t="shared" si="9"/>
        <v>0</v>
      </c>
    </row>
    <row r="42" spans="1:15">
      <c r="A42" s="30" t="s">
        <v>163</v>
      </c>
      <c r="D42" s="68"/>
      <c r="E42" s="68"/>
      <c r="F42" s="67"/>
      <c r="G42" s="67"/>
      <c r="H42" s="67"/>
      <c r="I42" s="67"/>
      <c r="L42"/>
      <c r="M42"/>
      <c r="N42"/>
      <c r="O42"/>
    </row>
    <row r="43" spans="1:15">
      <c r="A43" s="35" t="s">
        <v>36</v>
      </c>
      <c r="B43" s="24" t="s">
        <v>547</v>
      </c>
      <c r="D43" s="68">
        <v>20000</v>
      </c>
      <c r="E43" s="68">
        <v>20122</v>
      </c>
      <c r="F43" s="67">
        <v>0</v>
      </c>
      <c r="G43" s="67">
        <v>0</v>
      </c>
      <c r="H43" s="67">
        <v>0</v>
      </c>
      <c r="I43" s="67"/>
      <c r="L43"/>
      <c r="M43"/>
      <c r="N43"/>
      <c r="O43"/>
    </row>
    <row r="44" spans="1:15">
      <c r="A44" s="35" t="s">
        <v>37</v>
      </c>
      <c r="B44" s="24" t="s">
        <v>548</v>
      </c>
      <c r="D44" s="68">
        <v>10000</v>
      </c>
      <c r="E44" s="68">
        <v>0</v>
      </c>
      <c r="F44" s="67">
        <v>0</v>
      </c>
      <c r="G44" s="67">
        <v>7000</v>
      </c>
      <c r="H44" s="67">
        <v>7000</v>
      </c>
      <c r="I44" s="67"/>
      <c r="L44"/>
      <c r="M44"/>
      <c r="N44"/>
      <c r="O44"/>
    </row>
    <row r="45" spans="1:15">
      <c r="A45" s="74">
        <v>5875</v>
      </c>
      <c r="B45" s="24" t="s">
        <v>549</v>
      </c>
      <c r="D45" s="68">
        <v>10463</v>
      </c>
      <c r="E45" s="68">
        <v>16201</v>
      </c>
      <c r="F45" s="67">
        <v>15000</v>
      </c>
      <c r="G45" s="67">
        <v>15000</v>
      </c>
      <c r="H45" s="67">
        <v>15000</v>
      </c>
      <c r="I45" s="67"/>
      <c r="L45"/>
      <c r="M45"/>
      <c r="N45"/>
      <c r="O45"/>
    </row>
    <row r="46" spans="1:15">
      <c r="A46" s="35"/>
      <c r="D46" s="94">
        <f t="shared" ref="D46:I46" si="11">SUM(D43:D45)</f>
        <v>40463</v>
      </c>
      <c r="E46" s="94">
        <f t="shared" si="11"/>
        <v>36323</v>
      </c>
      <c r="F46" s="79">
        <f t="shared" si="11"/>
        <v>15000</v>
      </c>
      <c r="G46" s="79">
        <f t="shared" si="11"/>
        <v>22000</v>
      </c>
      <c r="H46" s="79">
        <f t="shared" ref="H46" si="12">SUM(H43:H45)</f>
        <v>22000</v>
      </c>
      <c r="I46" s="79">
        <f t="shared" si="11"/>
        <v>0</v>
      </c>
      <c r="L46"/>
      <c r="M46"/>
      <c r="N46"/>
      <c r="O46"/>
    </row>
    <row r="47" spans="1:15">
      <c r="A47" s="35"/>
      <c r="D47" s="68"/>
      <c r="E47" s="68"/>
      <c r="F47" s="67"/>
      <c r="G47" s="67"/>
      <c r="H47" s="67"/>
      <c r="I47" s="67"/>
      <c r="L47"/>
      <c r="M47"/>
      <c r="N47"/>
      <c r="O47"/>
    </row>
    <row r="48" spans="1:15">
      <c r="A48" s="30" t="s">
        <v>40</v>
      </c>
      <c r="D48" s="210">
        <f>+D46+D36+D30+D22+D17+D12+D41</f>
        <v>267272</v>
      </c>
      <c r="E48" s="210">
        <f>+E46+E36+E30+E22+E17+E12+E41</f>
        <v>284677</v>
      </c>
      <c r="F48" s="210">
        <f>+F46+F36+F30+F22+F17+F12+F41</f>
        <v>327837</v>
      </c>
      <c r="G48" s="202">
        <f>ROUNDUP(+G46+G36+G30+G22+G17+G12+G41,0)</f>
        <v>338833</v>
      </c>
      <c r="H48" s="202">
        <f>ROUNDUP(+H46+H36+H30+H22+H17+H12+H41,0)</f>
        <v>338833</v>
      </c>
      <c r="I48" s="202">
        <f>+I46+I36+I30+I22+I17+I12+I41</f>
        <v>0</v>
      </c>
      <c r="K48" s="36"/>
      <c r="L48" s="95"/>
      <c r="M48"/>
      <c r="N48"/>
      <c r="O48"/>
    </row>
    <row r="49" spans="4:10" customFormat="1">
      <c r="D49" s="91"/>
      <c r="E49" s="91"/>
    </row>
    <row r="50" spans="4:10" customFormat="1">
      <c r="D50" s="372"/>
      <c r="E50" s="91"/>
    </row>
    <row r="52" spans="4:10">
      <c r="G52" s="189"/>
      <c r="H52" s="36"/>
    </row>
    <row r="53" spans="4:10">
      <c r="G53" s="448"/>
      <c r="H53" s="36"/>
      <c r="I53" s="399"/>
    </row>
    <row r="54" spans="4:10">
      <c r="G54" s="189"/>
      <c r="H54" s="36"/>
      <c r="I54" s="399"/>
      <c r="J54" s="399"/>
    </row>
  </sheetData>
  <phoneticPr fontId="0" type="noConversion"/>
  <printOptions horizontalCentered="1"/>
  <pageMargins left="0.45" right="0.35" top="0.75" bottom="1" header="0.3" footer="0.3"/>
  <pageSetup scale="68" orientation="landscape" r:id="rId1"/>
  <headerFooter>
    <oddFooter>&amp;L&amp;D FY25 Budget&amp;CPage 51</oddFooter>
  </headerFooter>
  <ignoredErrors>
    <ignoredError sqref="A28:A35 A7:A8 A9 A12:A14 A15:A26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C9" sqref="C9"/>
    </sheetView>
  </sheetViews>
  <sheetFormatPr defaultColWidth="9" defaultRowHeight="15"/>
  <cols>
    <col min="1" max="1" width="13.42578125" style="24" customWidth="1"/>
    <col min="2" max="2" width="9.5703125" style="24" bestFit="1" customWidth="1"/>
    <col min="3" max="3" width="6.28515625" style="24" customWidth="1"/>
    <col min="4" max="4" width="5.5703125" style="24" customWidth="1"/>
    <col min="5" max="5" width="6" style="24" customWidth="1"/>
    <col min="6" max="6" width="12.42578125" style="24" customWidth="1"/>
    <col min="7" max="7" width="9.5703125" style="24" hidden="1" customWidth="1"/>
    <col min="8" max="10" width="9.28515625" style="24" bestFit="1" customWidth="1"/>
    <col min="11" max="13" width="6.28515625" style="24" customWidth="1"/>
    <col min="14" max="14" width="12" style="24" customWidth="1"/>
    <col min="15" max="15" width="11.42578125" style="24" hidden="1" customWidth="1"/>
    <col min="16" max="18" width="11.42578125" style="24" customWidth="1"/>
    <col min="19" max="16384" width="9" style="24"/>
  </cols>
  <sheetData>
    <row r="1" spans="1:19" s="2" customFormat="1">
      <c r="A1" s="360" t="str">
        <f>+'Pers 610'!A1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9">
      <c r="A2" s="40" t="s">
        <v>42</v>
      </c>
      <c r="B2" s="41" t="s">
        <v>213</v>
      </c>
    </row>
    <row r="3" spans="1:19">
      <c r="B3" s="42"/>
    </row>
    <row r="4" spans="1:19">
      <c r="B4" s="42"/>
    </row>
    <row r="5" spans="1:19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61"/>
      <c r="M5" s="42"/>
      <c r="N5" s="42"/>
      <c r="O5" s="43" t="s">
        <v>662</v>
      </c>
      <c r="P5" s="43"/>
      <c r="Q5" s="45"/>
      <c r="R5" s="45"/>
      <c r="S5" s="45"/>
    </row>
    <row r="6" spans="1:19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9">
      <c r="C7" s="53"/>
      <c r="K7" s="53"/>
    </row>
    <row r="8" spans="1:19">
      <c r="A8" s="24" t="s">
        <v>45</v>
      </c>
      <c r="C8" s="53"/>
      <c r="K8" s="53"/>
    </row>
    <row r="9" spans="1:19">
      <c r="A9" s="24" t="s">
        <v>259</v>
      </c>
      <c r="B9" s="189">
        <v>35977</v>
      </c>
      <c r="C9" s="52"/>
      <c r="D9" s="42" t="s">
        <v>340</v>
      </c>
      <c r="E9" s="42" t="s">
        <v>340</v>
      </c>
      <c r="F9" s="36">
        <v>84659.49</v>
      </c>
      <c r="G9" s="36">
        <v>3256.13</v>
      </c>
      <c r="H9" s="36"/>
      <c r="I9" s="65">
        <v>1850</v>
      </c>
      <c r="J9" s="36">
        <v>1628.07</v>
      </c>
      <c r="K9" s="52"/>
      <c r="L9" s="42" t="s">
        <v>340</v>
      </c>
      <c r="M9" s="42" t="s">
        <v>340</v>
      </c>
      <c r="N9" s="36">
        <v>89659</v>
      </c>
      <c r="O9" s="36"/>
      <c r="P9" s="36"/>
      <c r="Q9" s="65">
        <v>1850</v>
      </c>
      <c r="R9" s="36">
        <f>89659/52</f>
        <v>1724.2115384615386</v>
      </c>
    </row>
    <row r="10" spans="1:19">
      <c r="A10" s="24" t="s">
        <v>471</v>
      </c>
      <c r="B10" s="189">
        <v>36678</v>
      </c>
      <c r="C10" s="52"/>
      <c r="D10" s="42"/>
      <c r="E10" s="42"/>
      <c r="F10" s="36">
        <v>23000</v>
      </c>
      <c r="G10" s="36" t="s">
        <v>0</v>
      </c>
      <c r="H10" s="36">
        <v>15</v>
      </c>
      <c r="I10" s="65">
        <v>0</v>
      </c>
      <c r="J10" s="36">
        <v>0</v>
      </c>
      <c r="K10" s="52"/>
      <c r="L10" s="42"/>
      <c r="M10" s="42"/>
      <c r="N10" s="36"/>
      <c r="O10" s="36"/>
      <c r="P10" s="36">
        <v>18</v>
      </c>
      <c r="Q10" s="65"/>
      <c r="R10" s="36"/>
    </row>
    <row r="11" spans="1:19">
      <c r="A11" s="24" t="s">
        <v>244</v>
      </c>
      <c r="B11" s="189">
        <v>37408</v>
      </c>
      <c r="C11" s="52"/>
      <c r="D11" s="42"/>
      <c r="E11" s="42"/>
      <c r="F11" s="36"/>
      <c r="G11" s="36"/>
      <c r="H11" s="36">
        <v>15</v>
      </c>
      <c r="I11" s="65">
        <v>0</v>
      </c>
      <c r="J11" s="36">
        <v>0</v>
      </c>
      <c r="K11" s="52"/>
      <c r="L11" s="42"/>
      <c r="M11" s="42"/>
      <c r="N11" s="36"/>
      <c r="O11" s="36"/>
      <c r="P11" s="36">
        <v>18</v>
      </c>
      <c r="Q11" s="65"/>
      <c r="R11" s="36"/>
    </row>
    <row r="12" spans="1:19">
      <c r="A12" s="24" t="s">
        <v>266</v>
      </c>
      <c r="B12" s="189">
        <v>41078</v>
      </c>
      <c r="C12" s="52"/>
      <c r="D12" s="42"/>
      <c r="E12" s="42"/>
      <c r="F12" s="36"/>
      <c r="G12" s="36"/>
      <c r="H12" s="36">
        <v>15</v>
      </c>
      <c r="I12" s="65">
        <v>0</v>
      </c>
      <c r="J12" s="65">
        <v>0</v>
      </c>
      <c r="K12" s="52"/>
      <c r="L12" s="42"/>
      <c r="M12" s="42"/>
      <c r="N12" s="36"/>
      <c r="O12" s="36"/>
      <c r="P12" s="36">
        <v>18</v>
      </c>
      <c r="Q12" s="65"/>
      <c r="R12" s="65"/>
    </row>
    <row r="13" spans="1:19">
      <c r="B13" s="59"/>
      <c r="C13" s="52"/>
      <c r="D13" s="42"/>
      <c r="E13" s="42"/>
      <c r="F13" s="36"/>
      <c r="G13" s="36"/>
      <c r="H13" s="36"/>
      <c r="I13" s="65"/>
      <c r="J13" s="36"/>
      <c r="K13" s="52"/>
      <c r="L13" s="42"/>
      <c r="M13" s="42"/>
      <c r="N13" s="36"/>
      <c r="O13" s="36"/>
      <c r="P13" s="36"/>
      <c r="Q13" s="65"/>
      <c r="R13" s="36"/>
    </row>
    <row r="14" spans="1:19">
      <c r="B14" s="59"/>
      <c r="C14" s="56"/>
      <c r="F14" s="36"/>
      <c r="G14" s="36"/>
      <c r="H14" s="36"/>
      <c r="I14" s="36"/>
      <c r="J14" s="36"/>
      <c r="K14" s="56"/>
      <c r="N14" s="36"/>
      <c r="O14" s="36"/>
      <c r="P14" s="36"/>
      <c r="Q14" s="36"/>
      <c r="R14" s="36"/>
    </row>
    <row r="15" spans="1:19">
      <c r="B15" s="59"/>
      <c r="C15" s="56"/>
      <c r="D15" s="42"/>
      <c r="E15" s="42"/>
      <c r="F15" s="36"/>
      <c r="G15" s="36"/>
      <c r="H15" s="36"/>
      <c r="I15" s="36"/>
      <c r="J15" s="36"/>
      <c r="K15" s="56"/>
      <c r="L15" s="42"/>
      <c r="M15" s="42"/>
      <c r="N15" s="36"/>
      <c r="O15" s="36"/>
      <c r="P15" s="36"/>
      <c r="Q15" s="36"/>
      <c r="R15" s="36"/>
    </row>
    <row r="16" spans="1:19">
      <c r="A16" s="40" t="s">
        <v>96</v>
      </c>
      <c r="B16" s="42"/>
      <c r="C16" s="53"/>
      <c r="F16" s="36"/>
      <c r="K16" s="53"/>
      <c r="N16" s="36"/>
    </row>
    <row r="17" spans="1:18">
      <c r="A17" s="24" t="s">
        <v>45</v>
      </c>
      <c r="B17" s="42"/>
      <c r="C17" s="53"/>
      <c r="F17" s="36">
        <f>ROUND(F9,0)</f>
        <v>84659</v>
      </c>
      <c r="K17" s="53"/>
      <c r="N17" s="36">
        <f>ROUND(N9,0)</f>
        <v>89659</v>
      </c>
    </row>
    <row r="18" spans="1:18">
      <c r="A18" s="24" t="s">
        <v>46</v>
      </c>
      <c r="B18" s="42"/>
      <c r="C18" s="53"/>
      <c r="F18" s="36">
        <f>ROUND(+F10+F11,0)</f>
        <v>23000</v>
      </c>
      <c r="K18" s="53"/>
      <c r="N18" s="36">
        <v>21000</v>
      </c>
    </row>
    <row r="19" spans="1:18">
      <c r="A19" s="24" t="s">
        <v>91</v>
      </c>
      <c r="B19" s="42"/>
      <c r="C19" s="53"/>
      <c r="F19" s="36">
        <f>+I9</f>
        <v>1850</v>
      </c>
      <c r="K19" s="53"/>
      <c r="N19" s="36">
        <f>+Q9</f>
        <v>1850</v>
      </c>
    </row>
    <row r="20" spans="1:18">
      <c r="A20" s="24" t="s">
        <v>342</v>
      </c>
      <c r="B20" s="42"/>
      <c r="C20" s="53"/>
      <c r="F20" s="54">
        <f>ROUND(+J9,0)</f>
        <v>1628</v>
      </c>
      <c r="K20" s="53"/>
      <c r="N20" s="54">
        <f>ROUND(+R9,0)</f>
        <v>1724</v>
      </c>
    </row>
    <row r="21" spans="1:18">
      <c r="A21" s="24" t="s">
        <v>52</v>
      </c>
      <c r="B21" s="42"/>
      <c r="C21" s="53"/>
      <c r="F21" s="54">
        <v>0</v>
      </c>
      <c r="K21" s="53"/>
      <c r="N21" s="36">
        <v>0</v>
      </c>
    </row>
    <row r="22" spans="1:18">
      <c r="B22" s="42"/>
      <c r="C22" s="53"/>
      <c r="F22" s="54"/>
      <c r="K22" s="53"/>
      <c r="N22" s="54"/>
    </row>
    <row r="23" spans="1:18">
      <c r="A23" s="42" t="s">
        <v>337</v>
      </c>
      <c r="B23" s="42"/>
      <c r="C23" s="53"/>
      <c r="F23" s="186">
        <f>SUM(F17:F21)</f>
        <v>111137</v>
      </c>
      <c r="K23" s="53"/>
      <c r="N23" s="186">
        <f>SUM(N17:N21)</f>
        <v>114233</v>
      </c>
    </row>
    <row r="24" spans="1:18">
      <c r="B24" s="59"/>
      <c r="C24" s="47"/>
      <c r="D24" s="42"/>
      <c r="E24" s="42"/>
      <c r="F24" s="36"/>
      <c r="G24" s="36"/>
      <c r="H24" s="36"/>
      <c r="I24" s="36"/>
      <c r="J24" s="36"/>
      <c r="K24" s="47"/>
      <c r="L24" s="42"/>
      <c r="M24" s="42"/>
      <c r="N24" s="36"/>
      <c r="O24" s="36"/>
      <c r="P24" s="36"/>
      <c r="Q24" s="36"/>
      <c r="R24" s="36"/>
    </row>
    <row r="25" spans="1:18">
      <c r="B25" s="59"/>
      <c r="C25" s="47"/>
      <c r="D25" s="42"/>
      <c r="E25" s="42"/>
      <c r="F25" s="36"/>
      <c r="G25" s="36"/>
      <c r="H25" s="36"/>
      <c r="I25" s="36"/>
      <c r="J25" s="36"/>
      <c r="K25" s="47"/>
      <c r="L25" s="42"/>
      <c r="M25" s="42"/>
      <c r="N25" s="36"/>
      <c r="O25" s="36"/>
      <c r="P25" s="36"/>
      <c r="Q25" s="36"/>
      <c r="R25" s="36"/>
    </row>
    <row r="26" spans="1:18">
      <c r="B26" s="42"/>
    </row>
    <row r="27" spans="1:18">
      <c r="B27" s="42"/>
      <c r="F27" s="60" t="s">
        <v>626</v>
      </c>
      <c r="O27" s="60" t="s">
        <v>666</v>
      </c>
    </row>
    <row r="28" spans="1:18">
      <c r="B28" s="42"/>
      <c r="F28" s="60" t="s">
        <v>625</v>
      </c>
      <c r="O28" s="60" t="s">
        <v>664</v>
      </c>
    </row>
    <row r="33" spans="1:2">
      <c r="B33" s="59"/>
    </row>
    <row r="40" spans="1:2">
      <c r="A40" s="75"/>
      <c r="B40" s="75"/>
    </row>
    <row r="41" spans="1:2">
      <c r="A41" s="75"/>
      <c r="B41" s="75"/>
    </row>
  </sheetData>
  <printOptions horizontalCentered="1" gridLines="1"/>
  <pageMargins left="0.45" right="0.35" top="0.75" bottom="1" header="0.3" footer="0.3"/>
  <pageSetup scale="67" orientation="landscape" r:id="rId1"/>
  <headerFooter>
    <oddFooter>&amp;L&amp;D FY25 Budget&amp;CPage 52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topLeftCell="A24" workbookViewId="0">
      <selection activeCell="H54" sqref="H54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3" customWidth="1"/>
    <col min="6" max="9" width="14.42578125" style="24" customWidth="1"/>
    <col min="10" max="10" width="9" style="24"/>
    <col min="11" max="11" width="10.42578125" style="24" bestFit="1" customWidth="1"/>
    <col min="12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9">
      <c r="A2" s="30" t="s">
        <v>497</v>
      </c>
    </row>
    <row r="3" spans="1:9">
      <c r="A3" s="30" t="s">
        <v>498</v>
      </c>
      <c r="D3" s="370"/>
      <c r="E3" s="370"/>
      <c r="F3" s="6"/>
      <c r="G3" s="6"/>
    </row>
    <row r="4" spans="1:9" ht="30.7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9">
      <c r="A6" s="34" t="s">
        <v>38</v>
      </c>
    </row>
    <row r="7" spans="1:9">
      <c r="A7" s="35" t="s">
        <v>1</v>
      </c>
      <c r="B7" s="24" t="s">
        <v>45</v>
      </c>
      <c r="D7" s="430">
        <v>167796</v>
      </c>
      <c r="E7" s="430">
        <v>175011</v>
      </c>
      <c r="F7" s="431">
        <v>180144</v>
      </c>
      <c r="G7" s="431">
        <f>'Pers Sewer'!O16</f>
        <v>185548</v>
      </c>
      <c r="H7" s="201">
        <v>185548</v>
      </c>
      <c r="I7" s="201"/>
    </row>
    <row r="8" spans="1:9">
      <c r="A8" s="35" t="s">
        <v>2</v>
      </c>
      <c r="B8" s="24" t="s">
        <v>46</v>
      </c>
      <c r="D8" s="430">
        <v>162022</v>
      </c>
      <c r="E8" s="430">
        <v>180054</v>
      </c>
      <c r="F8" s="431">
        <v>191503</v>
      </c>
      <c r="G8" s="431">
        <f>'Pers Sewer'!O17</f>
        <v>226242</v>
      </c>
      <c r="H8" s="201">
        <v>226242</v>
      </c>
      <c r="I8" s="201"/>
    </row>
    <row r="9" spans="1:9">
      <c r="A9" s="74">
        <v>5120</v>
      </c>
      <c r="B9" s="24" t="s">
        <v>109</v>
      </c>
      <c r="D9" s="430">
        <v>14875</v>
      </c>
      <c r="E9" s="430">
        <v>0</v>
      </c>
      <c r="F9" s="431">
        <v>0</v>
      </c>
      <c r="G9" s="431">
        <v>0</v>
      </c>
      <c r="H9" s="201">
        <v>0</v>
      </c>
      <c r="I9" s="201"/>
    </row>
    <row r="10" spans="1:9">
      <c r="A10" s="35" t="s">
        <v>5</v>
      </c>
      <c r="B10" s="24" t="s">
        <v>48</v>
      </c>
      <c r="D10" s="430">
        <v>0</v>
      </c>
      <c r="E10" s="430">
        <v>110</v>
      </c>
      <c r="F10" s="431">
        <v>329</v>
      </c>
      <c r="G10" s="431">
        <f>'Pers Sewer'!O18</f>
        <v>300</v>
      </c>
      <c r="H10" s="201">
        <v>300</v>
      </c>
      <c r="I10" s="201"/>
    </row>
    <row r="11" spans="1:9">
      <c r="A11" s="35" t="s">
        <v>6</v>
      </c>
      <c r="B11" s="24" t="s">
        <v>91</v>
      </c>
      <c r="D11" s="430">
        <v>300</v>
      </c>
      <c r="E11" s="430">
        <v>300</v>
      </c>
      <c r="F11" s="431">
        <v>600</v>
      </c>
      <c r="G11" s="431">
        <f>'Pers Sewer'!O19</f>
        <v>300</v>
      </c>
      <c r="H11" s="201">
        <v>300</v>
      </c>
      <c r="I11" s="201"/>
    </row>
    <row r="12" spans="1:9">
      <c r="A12" s="74">
        <v>5174</v>
      </c>
      <c r="B12" s="24" t="s">
        <v>408</v>
      </c>
      <c r="D12" s="430">
        <v>0</v>
      </c>
      <c r="E12" s="430">
        <v>7500</v>
      </c>
      <c r="F12" s="431">
        <v>15000</v>
      </c>
      <c r="G12" s="431">
        <f>'Pers Sewer'!O20</f>
        <v>15000</v>
      </c>
      <c r="H12" s="201">
        <v>15000</v>
      </c>
      <c r="I12" s="201"/>
    </row>
    <row r="13" spans="1:9">
      <c r="A13" s="74">
        <v>5192</v>
      </c>
      <c r="B13" s="24" t="s">
        <v>345</v>
      </c>
      <c r="D13" s="430">
        <v>13590</v>
      </c>
      <c r="E13" s="430">
        <v>2739</v>
      </c>
      <c r="F13" s="431">
        <v>0</v>
      </c>
      <c r="G13" s="431">
        <v>0</v>
      </c>
      <c r="H13" s="201">
        <v>0</v>
      </c>
      <c r="I13" s="201"/>
    </row>
    <row r="14" spans="1:9">
      <c r="A14" s="35" t="s">
        <v>10</v>
      </c>
      <c r="B14" s="24" t="s">
        <v>52</v>
      </c>
      <c r="D14" s="430">
        <v>0</v>
      </c>
      <c r="E14" s="430">
        <v>0</v>
      </c>
      <c r="F14" s="431">
        <v>0</v>
      </c>
      <c r="G14" s="431">
        <f>'Pers Sewer'!O21</f>
        <v>1929</v>
      </c>
      <c r="H14" s="201">
        <v>1929</v>
      </c>
      <c r="I14" s="201"/>
    </row>
    <row r="15" spans="1:9">
      <c r="A15" s="35"/>
      <c r="D15" s="377">
        <f t="shared" ref="D15:I15" si="0">SUM(D7:D14)</f>
        <v>358583</v>
      </c>
      <c r="E15" s="377">
        <f t="shared" si="0"/>
        <v>365714</v>
      </c>
      <c r="F15" s="295">
        <f t="shared" si="0"/>
        <v>387576</v>
      </c>
      <c r="G15" s="295">
        <f>SUM(G7:G14)</f>
        <v>429319</v>
      </c>
      <c r="H15" s="295">
        <f>SUM(H7:H14)</f>
        <v>429319</v>
      </c>
      <c r="I15" s="295">
        <f t="shared" si="0"/>
        <v>0</v>
      </c>
    </row>
    <row r="16" spans="1:9">
      <c r="A16" s="30" t="s">
        <v>44</v>
      </c>
      <c r="D16" s="376"/>
      <c r="E16" s="376"/>
      <c r="F16" s="201"/>
      <c r="G16" s="201"/>
      <c r="H16" s="201"/>
      <c r="I16" s="201"/>
    </row>
    <row r="17" spans="1:59">
      <c r="A17" s="35" t="s">
        <v>11</v>
      </c>
      <c r="B17" s="24" t="s">
        <v>526</v>
      </c>
      <c r="D17" s="376">
        <v>243221</v>
      </c>
      <c r="E17" s="376">
        <v>243888</v>
      </c>
      <c r="F17" s="201">
        <v>363573</v>
      </c>
      <c r="G17" s="201">
        <v>381752</v>
      </c>
      <c r="H17" s="201">
        <v>381752</v>
      </c>
      <c r="I17" s="201"/>
    </row>
    <row r="18" spans="1:59">
      <c r="A18" s="35" t="s">
        <v>13</v>
      </c>
      <c r="B18" s="24" t="s">
        <v>53</v>
      </c>
      <c r="D18" s="376">
        <v>53326</v>
      </c>
      <c r="E18" s="376">
        <v>99591</v>
      </c>
      <c r="F18" s="201">
        <v>147585</v>
      </c>
      <c r="G18" s="201">
        <v>152012</v>
      </c>
      <c r="H18" s="201">
        <v>152012</v>
      </c>
      <c r="I18" s="201"/>
    </row>
    <row r="19" spans="1:59">
      <c r="A19" s="35" t="s">
        <v>14</v>
      </c>
      <c r="B19" s="24" t="s">
        <v>54</v>
      </c>
      <c r="D19" s="376">
        <v>3333</v>
      </c>
      <c r="E19" s="376">
        <v>4453</v>
      </c>
      <c r="F19" s="201">
        <v>3100</v>
      </c>
      <c r="G19" s="201">
        <v>3500</v>
      </c>
      <c r="H19" s="201">
        <v>3500</v>
      </c>
      <c r="I19" s="201"/>
    </row>
    <row r="20" spans="1:59">
      <c r="A20" s="35"/>
      <c r="D20" s="377">
        <f t="shared" ref="D20:I20" si="1">SUM(D17:D19)</f>
        <v>299880</v>
      </c>
      <c r="E20" s="377">
        <f t="shared" si="1"/>
        <v>347932</v>
      </c>
      <c r="F20" s="295">
        <f t="shared" si="1"/>
        <v>514258</v>
      </c>
      <c r="G20" s="295">
        <f>SUM(G17:G19)</f>
        <v>537264</v>
      </c>
      <c r="H20" s="295">
        <f t="shared" ref="H20" si="2">SUM(H17:H19)</f>
        <v>537264</v>
      </c>
      <c r="I20" s="295">
        <f t="shared" si="1"/>
        <v>0</v>
      </c>
    </row>
    <row r="21" spans="1:59">
      <c r="A21" s="35"/>
      <c r="D21" s="376"/>
      <c r="E21" s="376"/>
      <c r="F21" s="201"/>
      <c r="G21" s="201"/>
      <c r="H21" s="201"/>
      <c r="I21" s="201"/>
    </row>
    <row r="22" spans="1:59">
      <c r="A22" s="35" t="s">
        <v>16</v>
      </c>
      <c r="B22" s="24" t="s">
        <v>56</v>
      </c>
      <c r="D22" s="376">
        <v>1616</v>
      </c>
      <c r="E22" s="376">
        <v>89991</v>
      </c>
      <c r="F22" s="201">
        <v>191227</v>
      </c>
      <c r="G22" s="201">
        <v>196964</v>
      </c>
      <c r="H22" s="201">
        <v>196964</v>
      </c>
      <c r="I22" s="201"/>
    </row>
    <row r="23" spans="1:59">
      <c r="A23" s="35" t="s">
        <v>18</v>
      </c>
      <c r="B23" s="24" t="s">
        <v>58</v>
      </c>
      <c r="D23" s="376">
        <v>22133</v>
      </c>
      <c r="E23" s="376">
        <v>27144</v>
      </c>
      <c r="F23" s="201">
        <v>30596</v>
      </c>
      <c r="G23" s="201">
        <v>31514</v>
      </c>
      <c r="H23" s="201">
        <v>31514</v>
      </c>
      <c r="I23" s="201"/>
    </row>
    <row r="24" spans="1:59">
      <c r="A24" s="35" t="s">
        <v>20</v>
      </c>
      <c r="B24" s="24" t="s">
        <v>470</v>
      </c>
      <c r="D24" s="376">
        <v>2104733</v>
      </c>
      <c r="E24" s="376">
        <v>2227518</v>
      </c>
      <c r="F24" s="201">
        <v>2418353</v>
      </c>
      <c r="G24" s="201">
        <v>2483045</v>
      </c>
      <c r="H24" s="201">
        <v>2483045</v>
      </c>
      <c r="I24" s="201"/>
    </row>
    <row r="25" spans="1:59">
      <c r="A25" s="35"/>
      <c r="D25" s="377">
        <f t="shared" ref="D25:I25" si="3">SUM(D22:D24)</f>
        <v>2128482</v>
      </c>
      <c r="E25" s="377">
        <f t="shared" si="3"/>
        <v>2344653</v>
      </c>
      <c r="F25" s="295">
        <f t="shared" si="3"/>
        <v>2640176</v>
      </c>
      <c r="G25" s="295">
        <f>SUM(G22:G24)</f>
        <v>2711523</v>
      </c>
      <c r="H25" s="295">
        <f t="shared" ref="H25" si="4">SUM(H22:H24)</f>
        <v>2711523</v>
      </c>
      <c r="I25" s="295">
        <f t="shared" si="3"/>
        <v>0</v>
      </c>
    </row>
    <row r="26" spans="1:59">
      <c r="A26" s="30" t="s">
        <v>43</v>
      </c>
      <c r="B26" s="24" t="s">
        <v>0</v>
      </c>
      <c r="D26" s="376"/>
      <c r="E26" s="376"/>
      <c r="F26" s="201"/>
      <c r="G26" s="201"/>
      <c r="H26" s="201"/>
      <c r="I26" s="201"/>
    </row>
    <row r="27" spans="1:59">
      <c r="A27" s="35" t="s">
        <v>21</v>
      </c>
      <c r="B27" s="24" t="s">
        <v>60</v>
      </c>
      <c r="D27" s="376">
        <v>6599</v>
      </c>
      <c r="E27" s="376">
        <v>4401</v>
      </c>
      <c r="F27" s="201">
        <v>4919</v>
      </c>
      <c r="G27" s="201">
        <v>5067</v>
      </c>
      <c r="H27" s="201">
        <v>5067</v>
      </c>
      <c r="I27" s="201"/>
    </row>
    <row r="28" spans="1:59">
      <c r="A28" s="35" t="s">
        <v>25</v>
      </c>
      <c r="B28" s="24" t="s">
        <v>64</v>
      </c>
      <c r="D28" s="376">
        <v>1461</v>
      </c>
      <c r="E28" s="376">
        <v>285</v>
      </c>
      <c r="F28" s="201">
        <v>1061</v>
      </c>
      <c r="G28" s="201">
        <v>1093</v>
      </c>
      <c r="H28" s="201">
        <v>1093</v>
      </c>
      <c r="I28" s="201"/>
    </row>
    <row r="29" spans="1:59">
      <c r="A29" s="74">
        <v>5482</v>
      </c>
      <c r="B29" s="24" t="s">
        <v>390</v>
      </c>
      <c r="D29" s="376">
        <v>1064</v>
      </c>
      <c r="E29" s="376">
        <v>1002</v>
      </c>
      <c r="F29" s="201">
        <v>1343</v>
      </c>
      <c r="G29" s="201">
        <v>1383</v>
      </c>
      <c r="H29" s="201">
        <v>1383</v>
      </c>
      <c r="I29" s="201"/>
    </row>
    <row r="30" spans="1:59">
      <c r="A30" s="35" t="s">
        <v>30</v>
      </c>
      <c r="B30" s="24" t="s">
        <v>69</v>
      </c>
      <c r="D30" s="376">
        <v>0</v>
      </c>
      <c r="E30" s="376">
        <v>0</v>
      </c>
      <c r="F30" s="201">
        <v>0</v>
      </c>
      <c r="G30" s="201">
        <v>0</v>
      </c>
      <c r="H30" s="201">
        <v>0</v>
      </c>
      <c r="I30" s="201"/>
    </row>
    <row r="31" spans="1:59">
      <c r="A31" s="35"/>
      <c r="D31" s="377">
        <f t="shared" ref="D31:I31" si="5">SUM(D27:D30)</f>
        <v>9124</v>
      </c>
      <c r="E31" s="377">
        <f t="shared" si="5"/>
        <v>5688</v>
      </c>
      <c r="F31" s="295">
        <f t="shared" si="5"/>
        <v>7323</v>
      </c>
      <c r="G31" s="295">
        <f>SUM(G27:G30)</f>
        <v>7543</v>
      </c>
      <c r="H31" s="295">
        <f t="shared" ref="H31" si="6">SUM(H27:H30)</f>
        <v>7543</v>
      </c>
      <c r="I31" s="295">
        <f t="shared" si="5"/>
        <v>0</v>
      </c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</row>
    <row r="32" spans="1:59">
      <c r="A32" s="30" t="s">
        <v>39</v>
      </c>
      <c r="D32" s="376"/>
      <c r="E32" s="376"/>
      <c r="F32" s="201"/>
      <c r="G32" s="201"/>
      <c r="H32" s="201"/>
      <c r="I32" s="201"/>
    </row>
    <row r="33" spans="1:11">
      <c r="A33" s="35" t="s">
        <v>31</v>
      </c>
      <c r="B33" s="24" t="s">
        <v>70</v>
      </c>
      <c r="D33" s="376">
        <v>220</v>
      </c>
      <c r="E33" s="376">
        <v>494</v>
      </c>
      <c r="F33" s="201">
        <v>1126</v>
      </c>
      <c r="G33" s="201">
        <v>1159</v>
      </c>
      <c r="H33" s="201">
        <v>1159</v>
      </c>
      <c r="I33" s="201"/>
    </row>
    <row r="34" spans="1:11">
      <c r="A34" s="35" t="s">
        <v>33</v>
      </c>
      <c r="B34" s="24" t="s">
        <v>71</v>
      </c>
      <c r="D34" s="376">
        <v>955</v>
      </c>
      <c r="E34" s="376">
        <v>895</v>
      </c>
      <c r="F34" s="201">
        <v>1791</v>
      </c>
      <c r="G34" s="201">
        <v>1845</v>
      </c>
      <c r="H34" s="201">
        <v>1845</v>
      </c>
      <c r="I34" s="201"/>
    </row>
    <row r="35" spans="1:11">
      <c r="A35" s="74">
        <v>5740</v>
      </c>
      <c r="B35" s="24" t="s">
        <v>72</v>
      </c>
      <c r="D35" s="376">
        <v>156484</v>
      </c>
      <c r="E35" s="376">
        <v>165708</v>
      </c>
      <c r="F35" s="201">
        <v>217576</v>
      </c>
      <c r="G35" s="201">
        <v>234983</v>
      </c>
      <c r="H35" s="201">
        <v>234983</v>
      </c>
      <c r="I35" s="201"/>
    </row>
    <row r="36" spans="1:11">
      <c r="A36" s="74" t="s">
        <v>212</v>
      </c>
      <c r="B36" s="24" t="s">
        <v>744</v>
      </c>
      <c r="D36" s="302">
        <v>313466</v>
      </c>
      <c r="E36" s="302">
        <v>310781</v>
      </c>
      <c r="F36" s="22">
        <v>333226</v>
      </c>
      <c r="G36" s="22">
        <v>324712</v>
      </c>
      <c r="H36" s="22">
        <v>324712</v>
      </c>
      <c r="I36" s="22"/>
    </row>
    <row r="37" spans="1:11">
      <c r="A37" s="74" t="s">
        <v>260</v>
      </c>
      <c r="B37" s="24" t="s">
        <v>261</v>
      </c>
      <c r="D37" s="387">
        <v>15000</v>
      </c>
      <c r="E37" s="387">
        <v>15000</v>
      </c>
      <c r="F37" s="296">
        <v>15000</v>
      </c>
      <c r="G37" s="296">
        <v>15000</v>
      </c>
      <c r="H37" s="296">
        <v>15000</v>
      </c>
      <c r="I37" s="296"/>
    </row>
    <row r="38" spans="1:11">
      <c r="A38" s="74"/>
      <c r="D38" s="376">
        <f t="shared" ref="D38:I38" si="7">SUM(D33:D37)</f>
        <v>486125</v>
      </c>
      <c r="E38" s="376">
        <f t="shared" si="7"/>
        <v>492878</v>
      </c>
      <c r="F38" s="201">
        <f t="shared" si="7"/>
        <v>568719</v>
      </c>
      <c r="G38" s="201">
        <f>SUM(G33:G37)</f>
        <v>577699</v>
      </c>
      <c r="H38" s="201">
        <f t="shared" ref="H38" si="8">SUM(H33:H37)</f>
        <v>577699</v>
      </c>
      <c r="I38" s="201">
        <f t="shared" si="7"/>
        <v>0</v>
      </c>
    </row>
    <row r="39" spans="1:11">
      <c r="A39" s="72" t="s">
        <v>241</v>
      </c>
      <c r="D39" s="376"/>
      <c r="E39" s="376"/>
      <c r="F39" s="201"/>
      <c r="G39" s="201"/>
      <c r="H39" s="201"/>
      <c r="I39" s="201"/>
    </row>
    <row r="40" spans="1:11">
      <c r="A40" s="74" t="s">
        <v>217</v>
      </c>
      <c r="B40" s="24" t="s">
        <v>214</v>
      </c>
      <c r="D40" s="376">
        <v>2080246</v>
      </c>
      <c r="E40" s="376">
        <v>2080110</v>
      </c>
      <c r="F40" s="376">
        <v>1602753</v>
      </c>
      <c r="G40" s="376">
        <v>1603060</v>
      </c>
      <c r="H40" s="376">
        <v>1603060</v>
      </c>
      <c r="I40" s="376"/>
    </row>
    <row r="41" spans="1:11">
      <c r="A41" s="74" t="s">
        <v>218</v>
      </c>
      <c r="B41" s="24" t="s">
        <v>215</v>
      </c>
      <c r="D41" s="376">
        <v>1010950</v>
      </c>
      <c r="E41" s="376">
        <v>929134</v>
      </c>
      <c r="F41" s="376">
        <v>883626</v>
      </c>
      <c r="G41" s="376">
        <v>825769</v>
      </c>
      <c r="H41" s="376">
        <v>825769</v>
      </c>
      <c r="I41" s="376"/>
      <c r="K41" s="36"/>
    </row>
    <row r="42" spans="1:11">
      <c r="A42" s="74" t="s">
        <v>219</v>
      </c>
      <c r="B42" s="24" t="s">
        <v>216</v>
      </c>
      <c r="D42" s="376">
        <v>12867</v>
      </c>
      <c r="E42" s="376">
        <v>17848</v>
      </c>
      <c r="F42" s="376">
        <v>25324</v>
      </c>
      <c r="G42" s="376">
        <v>24829</v>
      </c>
      <c r="H42" s="376">
        <v>24829</v>
      </c>
      <c r="I42" s="376"/>
    </row>
    <row r="43" spans="1:11">
      <c r="A43" s="74" t="s">
        <v>243</v>
      </c>
      <c r="B43" s="24" t="s">
        <v>242</v>
      </c>
      <c r="D43" s="376">
        <v>0</v>
      </c>
      <c r="E43" s="376"/>
      <c r="F43" s="376">
        <v>0</v>
      </c>
      <c r="G43" s="376">
        <v>0</v>
      </c>
      <c r="H43" s="376">
        <v>0</v>
      </c>
      <c r="I43" s="376"/>
    </row>
    <row r="44" spans="1:11">
      <c r="A44" s="35"/>
      <c r="D44" s="377">
        <f t="shared" ref="D44:I44" si="9">SUM(D40:D43)</f>
        <v>3104063</v>
      </c>
      <c r="E44" s="377">
        <f t="shared" si="9"/>
        <v>3027092</v>
      </c>
      <c r="F44" s="377">
        <f t="shared" si="9"/>
        <v>2511703</v>
      </c>
      <c r="G44" s="377">
        <f>SUM(G40:G43)</f>
        <v>2453658</v>
      </c>
      <c r="H44" s="377">
        <f t="shared" ref="H44" si="10">SUM(H40:H43)</f>
        <v>2453658</v>
      </c>
      <c r="I44" s="295">
        <f t="shared" si="9"/>
        <v>0</v>
      </c>
    </row>
    <row r="45" spans="1:11">
      <c r="A45" s="30" t="s">
        <v>163</v>
      </c>
      <c r="D45" s="376"/>
      <c r="E45" s="376"/>
      <c r="F45" s="201"/>
      <c r="G45" s="201"/>
      <c r="H45" s="201"/>
      <c r="I45" s="201"/>
    </row>
    <row r="46" spans="1:11">
      <c r="A46" s="74">
        <v>5840</v>
      </c>
      <c r="B46" s="24" t="s">
        <v>220</v>
      </c>
      <c r="D46" s="376">
        <v>46308</v>
      </c>
      <c r="E46" s="376">
        <v>34343</v>
      </c>
      <c r="F46" s="201">
        <v>175000</v>
      </c>
      <c r="G46" s="201">
        <v>175000</v>
      </c>
      <c r="H46" s="201">
        <v>175000</v>
      </c>
      <c r="I46" s="201"/>
    </row>
    <row r="47" spans="1:11">
      <c r="A47" s="74" t="s">
        <v>37</v>
      </c>
      <c r="B47" s="24" t="s">
        <v>79</v>
      </c>
      <c r="D47" s="376">
        <v>0</v>
      </c>
      <c r="E47" s="376">
        <v>1515</v>
      </c>
      <c r="F47" s="201">
        <v>50000</v>
      </c>
      <c r="G47" s="201">
        <v>50000</v>
      </c>
      <c r="H47" s="201">
        <v>50000</v>
      </c>
      <c r="I47" s="201"/>
    </row>
    <row r="48" spans="1:11">
      <c r="A48" s="74">
        <v>5875</v>
      </c>
      <c r="B48" s="24" t="s">
        <v>221</v>
      </c>
      <c r="D48" s="376">
        <v>12845</v>
      </c>
      <c r="E48" s="376">
        <v>54144</v>
      </c>
      <c r="F48" s="201">
        <v>100000</v>
      </c>
      <c r="G48" s="201">
        <v>100000</v>
      </c>
      <c r="H48" s="201">
        <v>100000</v>
      </c>
      <c r="I48" s="201"/>
    </row>
    <row r="49" spans="1:11">
      <c r="A49" s="74"/>
      <c r="B49" s="24" t="s">
        <v>651</v>
      </c>
      <c r="D49" s="376">
        <v>0</v>
      </c>
      <c r="E49" s="376"/>
      <c r="F49" s="201">
        <v>256413</v>
      </c>
      <c r="G49" s="201">
        <v>250000</v>
      </c>
      <c r="H49" s="201">
        <v>250000</v>
      </c>
      <c r="I49" s="201"/>
    </row>
    <row r="50" spans="1:11">
      <c r="A50" s="35"/>
      <c r="D50" s="377">
        <f t="shared" ref="D50:I50" si="11">SUM(D46:D49)</f>
        <v>59153</v>
      </c>
      <c r="E50" s="377">
        <f t="shared" si="11"/>
        <v>90002</v>
      </c>
      <c r="F50" s="295">
        <f t="shared" si="11"/>
        <v>581413</v>
      </c>
      <c r="G50" s="295">
        <f t="shared" si="11"/>
        <v>575000</v>
      </c>
      <c r="H50" s="295">
        <f t="shared" ref="H50" si="12">SUM(H46:H49)</f>
        <v>575000</v>
      </c>
      <c r="I50" s="295">
        <f t="shared" si="11"/>
        <v>0</v>
      </c>
      <c r="K50" s="67"/>
    </row>
    <row r="51" spans="1:11">
      <c r="D51" s="68"/>
      <c r="E51" s="68"/>
      <c r="F51" s="67"/>
      <c r="G51" s="67"/>
      <c r="H51" s="67"/>
      <c r="I51" s="67"/>
    </row>
    <row r="52" spans="1:11">
      <c r="A52" s="30" t="s">
        <v>40</v>
      </c>
      <c r="D52" s="210">
        <f>+D50+D44+D31+D25+D20+D15+D38</f>
        <v>6445410</v>
      </c>
      <c r="E52" s="210">
        <f>+E50+E44+E31+E25+E20+E15+E38</f>
        <v>6673959</v>
      </c>
      <c r="F52" s="210">
        <f>+F50+F44+F31+F25+F20+F15+F38</f>
        <v>7211168</v>
      </c>
      <c r="G52" s="202">
        <f>ROUNDUP(+G50+G44+G31+G25+G20+G15+G38,0)</f>
        <v>7292006</v>
      </c>
      <c r="H52" s="202">
        <f>ROUNDUP(+H50+H44+H31+H25+H20+H15+H38,0)</f>
        <v>7292006</v>
      </c>
      <c r="I52" s="202">
        <f>+I50+I44+I31+I25+I20+I15+I38</f>
        <v>0</v>
      </c>
      <c r="K52" s="67"/>
    </row>
    <row r="53" spans="1:11" customFormat="1">
      <c r="D53" s="91"/>
      <c r="E53" s="91"/>
    </row>
    <row r="54" spans="1:11" customFormat="1">
      <c r="D54" s="372"/>
      <c r="E54" s="91"/>
    </row>
    <row r="55" spans="1:11" customFormat="1">
      <c r="D55" s="91"/>
      <c r="E55" s="91"/>
    </row>
  </sheetData>
  <printOptions horizontalCentered="1"/>
  <pageMargins left="0.45" right="0.35" top="0.75" bottom="1" header="0.3" footer="0.3"/>
  <pageSetup scale="63" orientation="landscape" r:id="rId1"/>
  <headerFooter>
    <oddFooter>&amp;L&amp;D FY25 Budget&amp;CPage 53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>
      <selection activeCell="C5" sqref="C5"/>
    </sheetView>
  </sheetViews>
  <sheetFormatPr defaultColWidth="9" defaultRowHeight="15"/>
  <cols>
    <col min="1" max="1" width="13.42578125" style="24" customWidth="1"/>
    <col min="2" max="2" width="9.42578125" style="24" customWidth="1"/>
    <col min="3" max="5" width="9" style="24"/>
    <col min="6" max="6" width="11.28515625" style="24" customWidth="1"/>
    <col min="7" max="7" width="0" style="24" hidden="1" customWidth="1"/>
    <col min="8" max="8" width="9.7109375" style="24" bestFit="1" customWidth="1"/>
    <col min="9" max="10" width="9" style="24"/>
    <col min="11" max="11" width="2.28515625" style="24" customWidth="1"/>
    <col min="12" max="14" width="9" style="24"/>
    <col min="15" max="15" width="11.5703125" style="24" customWidth="1"/>
    <col min="16" max="16" width="11.5703125" style="24" hidden="1" customWidth="1"/>
    <col min="17" max="19" width="11.5703125" style="24" customWidth="1"/>
    <col min="20" max="16384" width="9" style="24"/>
  </cols>
  <sheetData>
    <row r="1" spans="1:19" s="2" customFormat="1">
      <c r="A1" s="360" t="str">
        <f>+'Pers 610'!A1</f>
        <v>Fiscal Year 2025 Budget Worksheet</v>
      </c>
      <c r="B1" s="360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>
      <c r="A2" s="40" t="s">
        <v>42</v>
      </c>
      <c r="B2" s="40" t="s">
        <v>499</v>
      </c>
    </row>
    <row r="5" spans="1:19">
      <c r="B5" s="42" t="s">
        <v>481</v>
      </c>
      <c r="C5" s="44"/>
      <c r="D5" s="42"/>
      <c r="E5" s="42"/>
      <c r="F5" s="43" t="s">
        <v>624</v>
      </c>
      <c r="G5" s="43"/>
      <c r="H5" s="45"/>
      <c r="I5" s="45"/>
      <c r="J5" s="45"/>
      <c r="L5" s="44"/>
      <c r="M5" s="42"/>
      <c r="N5" s="42"/>
      <c r="O5" s="43" t="s">
        <v>662</v>
      </c>
      <c r="P5" s="43"/>
      <c r="Q5" s="45"/>
      <c r="R5" s="45"/>
      <c r="S5" s="45"/>
    </row>
    <row r="6" spans="1:19" s="48" customFormat="1">
      <c r="B6" s="49" t="s">
        <v>480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L6" s="50" t="s">
        <v>621</v>
      </c>
      <c r="M6" s="49" t="s">
        <v>86</v>
      </c>
      <c r="N6" s="49" t="s">
        <v>87</v>
      </c>
      <c r="O6" s="49" t="s">
        <v>88</v>
      </c>
      <c r="P6" s="326" t="s">
        <v>338</v>
      </c>
      <c r="Q6" s="326" t="s">
        <v>90</v>
      </c>
      <c r="R6" s="327" t="s">
        <v>91</v>
      </c>
      <c r="S6" s="49" t="s">
        <v>342</v>
      </c>
    </row>
    <row r="7" spans="1:19">
      <c r="C7" s="53"/>
      <c r="L7" s="53"/>
    </row>
    <row r="8" spans="1:19">
      <c r="A8" s="24" t="s">
        <v>45</v>
      </c>
      <c r="C8" s="53"/>
      <c r="L8" s="53"/>
    </row>
    <row r="9" spans="1:19">
      <c r="A9" s="24" t="s">
        <v>601</v>
      </c>
      <c r="B9" s="189">
        <v>42744</v>
      </c>
      <c r="C9" s="52"/>
      <c r="D9" s="42"/>
      <c r="E9" s="42"/>
      <c r="F9" s="36">
        <v>180143.67</v>
      </c>
      <c r="G9" s="36">
        <v>6928.6</v>
      </c>
      <c r="H9" s="36"/>
      <c r="I9" s="65">
        <v>300</v>
      </c>
      <c r="J9" s="36">
        <v>0</v>
      </c>
      <c r="L9" s="52"/>
      <c r="M9" s="42"/>
      <c r="N9" s="42"/>
      <c r="O9" s="36">
        <v>185547.98</v>
      </c>
      <c r="P9" s="36">
        <v>7102.32</v>
      </c>
      <c r="Q9" s="36"/>
      <c r="R9" s="65">
        <v>300</v>
      </c>
      <c r="S9" s="36">
        <v>0</v>
      </c>
    </row>
    <row r="10" spans="1:19">
      <c r="A10" s="24" t="s">
        <v>673</v>
      </c>
      <c r="B10" s="189">
        <v>45145</v>
      </c>
      <c r="C10" s="52"/>
      <c r="D10" s="42"/>
      <c r="E10" s="42"/>
      <c r="F10" s="36">
        <v>98267.97</v>
      </c>
      <c r="G10" s="36">
        <v>3779.54</v>
      </c>
      <c r="H10" s="36"/>
      <c r="I10" s="65">
        <v>300</v>
      </c>
      <c r="J10" s="36">
        <v>0</v>
      </c>
      <c r="L10" s="52"/>
      <c r="M10" s="42"/>
      <c r="N10" s="42"/>
      <c r="O10" s="36">
        <f>+P10*26.125</f>
        <v>129780.11749999999</v>
      </c>
      <c r="P10" s="36">
        <v>4967.66</v>
      </c>
      <c r="Q10" s="36"/>
      <c r="R10" s="65">
        <v>0</v>
      </c>
      <c r="S10" s="36">
        <v>0</v>
      </c>
    </row>
    <row r="11" spans="1:19">
      <c r="A11" s="24" t="s">
        <v>602</v>
      </c>
      <c r="B11" s="189">
        <v>44446</v>
      </c>
      <c r="C11" s="52"/>
      <c r="D11" s="42" t="s">
        <v>100</v>
      </c>
      <c r="E11" s="42">
        <v>3</v>
      </c>
      <c r="F11" s="36">
        <v>46617.48</v>
      </c>
      <c r="G11" s="36">
        <v>1792.98</v>
      </c>
      <c r="H11" s="36">
        <v>25.61</v>
      </c>
      <c r="I11" s="65">
        <v>0</v>
      </c>
      <c r="J11" s="36">
        <v>0</v>
      </c>
      <c r="L11" s="52"/>
      <c r="M11" s="42" t="s">
        <v>100</v>
      </c>
      <c r="N11" s="42">
        <v>4</v>
      </c>
      <c r="O11" s="36">
        <f t="shared" ref="O11:O12" si="0">+P11*26.125</f>
        <v>48230.93</v>
      </c>
      <c r="P11" s="36">
        <v>1846.16</v>
      </c>
      <c r="Q11" s="36">
        <v>26.37</v>
      </c>
      <c r="R11" s="65">
        <v>0</v>
      </c>
      <c r="S11" s="36">
        <v>0</v>
      </c>
    </row>
    <row r="12" spans="1:19">
      <c r="A12" s="24" t="s">
        <v>603</v>
      </c>
      <c r="B12" s="189">
        <v>44446</v>
      </c>
      <c r="C12" s="52"/>
      <c r="D12" s="42" t="s">
        <v>100</v>
      </c>
      <c r="E12" s="42">
        <v>3</v>
      </c>
      <c r="F12" s="36">
        <v>46617.48</v>
      </c>
      <c r="G12" s="36">
        <v>1792.98</v>
      </c>
      <c r="H12" s="36">
        <v>25.61</v>
      </c>
      <c r="I12" s="65">
        <v>0</v>
      </c>
      <c r="J12" s="36">
        <v>0</v>
      </c>
      <c r="L12" s="52"/>
      <c r="M12" s="42" t="s">
        <v>100</v>
      </c>
      <c r="N12" s="42">
        <v>4</v>
      </c>
      <c r="O12" s="36">
        <f t="shared" si="0"/>
        <v>48230.93</v>
      </c>
      <c r="P12" s="36">
        <v>1846.16</v>
      </c>
      <c r="Q12" s="36">
        <v>26.37</v>
      </c>
      <c r="R12" s="65">
        <v>0</v>
      </c>
      <c r="S12" s="36">
        <v>0</v>
      </c>
    </row>
    <row r="13" spans="1:19">
      <c r="C13" s="56"/>
      <c r="F13" s="36"/>
      <c r="G13" s="36"/>
      <c r="H13" s="36"/>
      <c r="I13" s="36"/>
      <c r="J13" s="36"/>
      <c r="L13" s="56"/>
      <c r="O13" s="36"/>
      <c r="P13" s="36"/>
      <c r="Q13" s="36"/>
      <c r="R13" s="36"/>
      <c r="S13" s="36"/>
    </row>
    <row r="14" spans="1:19">
      <c r="C14" s="56"/>
      <c r="D14" s="42"/>
      <c r="E14" s="42"/>
      <c r="F14" s="36"/>
      <c r="G14" s="36"/>
      <c r="H14" s="36"/>
      <c r="I14" s="36"/>
      <c r="J14" s="36"/>
      <c r="L14" s="56"/>
      <c r="M14" s="42"/>
      <c r="N14" s="42"/>
      <c r="O14" s="36"/>
      <c r="P14" s="36"/>
      <c r="Q14" s="36"/>
      <c r="R14" s="36"/>
      <c r="S14" s="36"/>
    </row>
    <row r="15" spans="1:19">
      <c r="A15" s="40" t="s">
        <v>96</v>
      </c>
      <c r="B15" s="40"/>
      <c r="C15" s="53"/>
      <c r="F15" s="36"/>
      <c r="L15" s="53"/>
      <c r="O15" s="36"/>
    </row>
    <row r="16" spans="1:19">
      <c r="A16" s="24" t="s">
        <v>45</v>
      </c>
      <c r="C16" s="53"/>
      <c r="F16" s="36">
        <v>180144</v>
      </c>
      <c r="L16" s="53"/>
      <c r="O16" s="36">
        <f>ROUND(+O9,0)</f>
        <v>185548</v>
      </c>
    </row>
    <row r="17" spans="1:19">
      <c r="A17" s="24" t="s">
        <v>46</v>
      </c>
      <c r="C17" s="53"/>
      <c r="F17" s="36">
        <v>191503</v>
      </c>
      <c r="L17" s="53"/>
      <c r="O17" s="36">
        <f>ROUND(+O10++O11+O12,0)</f>
        <v>226242</v>
      </c>
    </row>
    <row r="18" spans="1:19">
      <c r="A18" s="24" t="s">
        <v>48</v>
      </c>
      <c r="C18" s="53"/>
      <c r="F18" s="36">
        <v>329</v>
      </c>
      <c r="L18" s="53"/>
      <c r="O18" s="36">
        <v>300</v>
      </c>
    </row>
    <row r="19" spans="1:19">
      <c r="A19" s="24" t="s">
        <v>91</v>
      </c>
      <c r="C19" s="53"/>
      <c r="F19" s="36">
        <v>600</v>
      </c>
      <c r="L19" s="53"/>
      <c r="O19" s="36">
        <v>300</v>
      </c>
    </row>
    <row r="20" spans="1:19">
      <c r="A20" s="24" t="s">
        <v>408</v>
      </c>
      <c r="C20" s="53"/>
      <c r="F20" s="54">
        <v>15000</v>
      </c>
      <c r="L20" s="53"/>
      <c r="O20" s="54">
        <v>15000</v>
      </c>
    </row>
    <row r="21" spans="1:19">
      <c r="A21" s="24" t="s">
        <v>52</v>
      </c>
      <c r="C21" s="53"/>
      <c r="F21" s="54">
        <v>0</v>
      </c>
      <c r="L21" s="53"/>
      <c r="O21" s="54">
        <v>1929</v>
      </c>
    </row>
    <row r="22" spans="1:19">
      <c r="C22" s="53"/>
      <c r="F22" s="54"/>
      <c r="L22" s="53"/>
      <c r="O22" s="54"/>
    </row>
    <row r="23" spans="1:19">
      <c r="A23" s="42" t="s">
        <v>337</v>
      </c>
      <c r="B23" s="42"/>
      <c r="C23" s="196"/>
      <c r="D23" s="193"/>
      <c r="E23" s="193"/>
      <c r="F23" s="193">
        <f>SUM(F16:F21)</f>
        <v>387576</v>
      </c>
      <c r="L23" s="196"/>
      <c r="M23" s="193"/>
      <c r="N23" s="193"/>
      <c r="O23" s="193">
        <f>SUM(O16:O21)</f>
        <v>429319</v>
      </c>
    </row>
    <row r="24" spans="1:19">
      <c r="C24" s="47"/>
      <c r="D24" s="42"/>
      <c r="E24" s="42"/>
      <c r="F24" s="36"/>
      <c r="G24" s="36"/>
      <c r="H24" s="36"/>
      <c r="I24" s="36"/>
      <c r="J24" s="36"/>
      <c r="L24" s="47"/>
      <c r="M24" s="42"/>
      <c r="N24" s="42"/>
      <c r="O24" s="36"/>
      <c r="P24" s="36"/>
      <c r="Q24" s="36"/>
      <c r="R24" s="36"/>
      <c r="S24" s="36"/>
    </row>
    <row r="25" spans="1:19">
      <c r="C25" s="47"/>
      <c r="D25" s="42"/>
      <c r="E25" s="42"/>
      <c r="F25" s="36"/>
      <c r="G25" s="36"/>
      <c r="H25" s="36"/>
      <c r="I25" s="36"/>
      <c r="J25" s="36"/>
      <c r="L25" s="47"/>
      <c r="M25" s="42"/>
      <c r="N25" s="42"/>
      <c r="O25" s="36"/>
      <c r="P25" s="36"/>
      <c r="Q25" s="36"/>
      <c r="R25" s="36"/>
      <c r="S25" s="36"/>
    </row>
    <row r="27" spans="1:19">
      <c r="F27" s="60" t="s">
        <v>626</v>
      </c>
      <c r="O27" s="60" t="s">
        <v>666</v>
      </c>
    </row>
    <row r="28" spans="1:19">
      <c r="A28" s="76"/>
      <c r="B28" s="76"/>
      <c r="F28" s="60" t="s">
        <v>625</v>
      </c>
      <c r="O28" s="60" t="s">
        <v>664</v>
      </c>
    </row>
    <row r="29" spans="1:19">
      <c r="A29" s="77"/>
      <c r="B29" s="77"/>
      <c r="F29" s="313" t="s">
        <v>97</v>
      </c>
      <c r="G29" s="62"/>
      <c r="H29" s="62"/>
      <c r="I29" s="62"/>
      <c r="L29" s="62"/>
      <c r="M29" s="62"/>
      <c r="N29" s="62"/>
      <c r="O29" s="313" t="s">
        <v>97</v>
      </c>
    </row>
    <row r="30" spans="1:19">
      <c r="A30" s="77"/>
      <c r="B30" s="77"/>
      <c r="F30" s="60"/>
      <c r="O30" s="60"/>
    </row>
    <row r="31" spans="1:19">
      <c r="A31" s="77"/>
      <c r="B31" s="77"/>
    </row>
    <row r="43" spans="1:2">
      <c r="A43" s="75"/>
      <c r="B43" s="75"/>
    </row>
    <row r="44" spans="1:2">
      <c r="A44" s="75"/>
      <c r="B44" s="75"/>
    </row>
  </sheetData>
  <phoneticPr fontId="0" type="noConversion"/>
  <printOptions horizontalCentered="1" gridLines="1"/>
  <pageMargins left="0.45" right="0.35" top="0.75" bottom="1" header="0.3" footer="0.3"/>
  <pageSetup scale="79" orientation="landscape" r:id="rId1"/>
  <headerFooter>
    <oddFooter>&amp;L&amp;D FY25 Budget&amp;CPage 54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1"/>
  <sheetViews>
    <sheetView showWhiteSpace="0" topLeftCell="A2" workbookViewId="0">
      <selection activeCell="H31" sqref="H31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9" width="14.42578125" style="24" customWidth="1"/>
    <col min="10" max="10" width="2" style="24" customWidth="1"/>
    <col min="11" max="12" width="10.7109375" style="24" bestFit="1" customWidth="1"/>
    <col min="13" max="13" width="9" style="24"/>
    <col min="14" max="14" width="10.7109375" style="24" bestFit="1" customWidth="1"/>
    <col min="15" max="16384" width="9" style="24"/>
  </cols>
  <sheetData>
    <row r="1" spans="1:11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1">
      <c r="A2" s="30" t="s">
        <v>558</v>
      </c>
    </row>
    <row r="3" spans="1:11">
      <c r="A3" s="30" t="s">
        <v>677</v>
      </c>
      <c r="D3" s="93"/>
      <c r="E3" s="93"/>
      <c r="F3" s="6"/>
      <c r="G3" s="6"/>
    </row>
    <row r="4" spans="1:11" ht="29.25" customHeight="1">
      <c r="A4" s="31"/>
      <c r="B4" s="32" t="s">
        <v>41</v>
      </c>
      <c r="C4" s="33" t="s">
        <v>0</v>
      </c>
      <c r="D4" s="33" t="str">
        <f>+'Dept 122'!D4</f>
        <v>FY22 Actual</v>
      </c>
      <c r="E4" s="33" t="str">
        <f>+'Dept 122'!E4</f>
        <v>FY23 Actual</v>
      </c>
      <c r="F4" s="33" t="str">
        <f>+'Dept 122'!F4</f>
        <v>FY24 Budget</v>
      </c>
      <c r="G4" s="33" t="str">
        <f>+'Dept 122'!G4</f>
        <v>FY25 Request</v>
      </c>
      <c r="H4" s="33" t="str">
        <f>+'Dept 122'!H4</f>
        <v>Town Manager Recommend</v>
      </c>
      <c r="I4" s="33" t="str">
        <f>+'Dept 122'!I4</f>
        <v>Advisory Board Recommend</v>
      </c>
    </row>
    <row r="6" spans="1:11">
      <c r="A6" s="34" t="s">
        <v>38</v>
      </c>
    </row>
    <row r="7" spans="1:11">
      <c r="A7" s="35" t="s">
        <v>2</v>
      </c>
      <c r="B7" s="24" t="s">
        <v>46</v>
      </c>
      <c r="D7" s="68">
        <v>119170</v>
      </c>
      <c r="E7" s="68">
        <v>124130</v>
      </c>
      <c r="F7" s="67">
        <v>129652</v>
      </c>
      <c r="G7" s="67">
        <f>'Pers Cable'!N18</f>
        <v>93361</v>
      </c>
      <c r="H7" s="67">
        <v>93361</v>
      </c>
      <c r="I7" s="67"/>
      <c r="K7" s="307"/>
    </row>
    <row r="8" spans="1:11">
      <c r="A8" s="35" t="s">
        <v>6</v>
      </c>
      <c r="B8" s="24" t="s">
        <v>91</v>
      </c>
      <c r="D8" s="68">
        <v>1600</v>
      </c>
      <c r="E8" s="68">
        <v>1600</v>
      </c>
      <c r="F8" s="67">
        <v>1600</v>
      </c>
      <c r="G8" s="67">
        <f>'Pers Cable'!N19</f>
        <v>2000</v>
      </c>
      <c r="H8" s="67">
        <v>2000</v>
      </c>
      <c r="I8" s="67"/>
      <c r="K8" s="426"/>
    </row>
    <row r="9" spans="1:11">
      <c r="A9" s="74">
        <v>5192</v>
      </c>
      <c r="B9" s="69" t="s">
        <v>345</v>
      </c>
      <c r="D9" s="68">
        <v>1228</v>
      </c>
      <c r="E9" s="68">
        <v>1324</v>
      </c>
      <c r="F9" s="67">
        <v>1364</v>
      </c>
      <c r="G9" s="67">
        <f>'Pers Cable'!N20</f>
        <v>1405</v>
      </c>
      <c r="H9" s="67">
        <v>1405</v>
      </c>
      <c r="I9" s="67"/>
    </row>
    <row r="10" spans="1:11">
      <c r="A10" s="74">
        <v>5195</v>
      </c>
      <c r="B10" s="69" t="s">
        <v>52</v>
      </c>
      <c r="D10" s="68">
        <v>0</v>
      </c>
      <c r="E10" s="68">
        <v>0</v>
      </c>
      <c r="F10" s="67">
        <v>0</v>
      </c>
      <c r="G10" s="67">
        <f>'Pers Cable'!N21</f>
        <v>0</v>
      </c>
      <c r="H10" s="67">
        <v>0</v>
      </c>
      <c r="I10" s="67"/>
    </row>
    <row r="11" spans="1:11">
      <c r="A11" s="35"/>
      <c r="D11" s="94">
        <f t="shared" ref="D11:I11" si="0">SUM(D7:D10)</f>
        <v>121998</v>
      </c>
      <c r="E11" s="94">
        <f t="shared" si="0"/>
        <v>127054</v>
      </c>
      <c r="F11" s="94">
        <f t="shared" si="0"/>
        <v>132616</v>
      </c>
      <c r="G11" s="94">
        <f t="shared" si="0"/>
        <v>96766</v>
      </c>
      <c r="H11" s="94">
        <f t="shared" si="0"/>
        <v>96766</v>
      </c>
      <c r="I11" s="94">
        <f t="shared" si="0"/>
        <v>0</v>
      </c>
    </row>
    <row r="12" spans="1:11">
      <c r="A12" s="30" t="s">
        <v>44</v>
      </c>
      <c r="D12" s="68"/>
      <c r="E12" s="68"/>
      <c r="F12" s="67"/>
      <c r="G12" s="67"/>
      <c r="H12" s="67"/>
      <c r="I12" s="67"/>
    </row>
    <row r="13" spans="1:11">
      <c r="A13" s="35" t="s">
        <v>16</v>
      </c>
      <c r="B13" s="24" t="s">
        <v>56</v>
      </c>
      <c r="D13" s="68">
        <v>46725</v>
      </c>
      <c r="E13" s="68">
        <v>48705</v>
      </c>
      <c r="F13" s="67">
        <v>42000</v>
      </c>
      <c r="G13" s="67">
        <v>45000</v>
      </c>
      <c r="H13" s="67">
        <v>45000</v>
      </c>
      <c r="I13" s="307"/>
      <c r="K13" s="307"/>
    </row>
    <row r="14" spans="1:11">
      <c r="A14" s="35" t="s">
        <v>18</v>
      </c>
      <c r="B14" s="24" t="s">
        <v>58</v>
      </c>
      <c r="D14" s="68">
        <v>71656</v>
      </c>
      <c r="E14" s="68">
        <v>59756</v>
      </c>
      <c r="F14" s="81">
        <v>60000</v>
      </c>
      <c r="G14" s="81">
        <v>65000</v>
      </c>
      <c r="H14" s="81">
        <v>65000</v>
      </c>
      <c r="I14" s="67"/>
    </row>
    <row r="15" spans="1:11">
      <c r="A15" s="35" t="s">
        <v>20</v>
      </c>
      <c r="B15" s="24" t="s">
        <v>59</v>
      </c>
      <c r="D15" s="68">
        <v>0</v>
      </c>
      <c r="E15" s="68">
        <v>0</v>
      </c>
      <c r="F15" s="67">
        <v>0</v>
      </c>
      <c r="G15" s="67">
        <v>0</v>
      </c>
      <c r="H15" s="67">
        <v>0</v>
      </c>
      <c r="I15" s="67"/>
    </row>
    <row r="16" spans="1:11">
      <c r="A16" s="35"/>
      <c r="B16" s="24" t="s">
        <v>0</v>
      </c>
      <c r="D16" s="94">
        <f t="shared" ref="D16:I16" si="1">SUM(D13:D15)</f>
        <v>118381</v>
      </c>
      <c r="E16" s="94">
        <f t="shared" si="1"/>
        <v>108461</v>
      </c>
      <c r="F16" s="79">
        <f t="shared" si="1"/>
        <v>102000</v>
      </c>
      <c r="G16" s="79">
        <f t="shared" si="1"/>
        <v>110000</v>
      </c>
      <c r="H16" s="79">
        <f t="shared" ref="H16" si="2">SUM(H13:H15)</f>
        <v>110000</v>
      </c>
      <c r="I16" s="79">
        <f t="shared" si="1"/>
        <v>0</v>
      </c>
    </row>
    <row r="17" spans="1:59">
      <c r="A17" s="30" t="s">
        <v>43</v>
      </c>
      <c r="D17" s="68"/>
      <c r="E17" s="68"/>
      <c r="F17" s="67"/>
      <c r="G17" s="67"/>
      <c r="H17" s="67"/>
      <c r="I17" s="67"/>
    </row>
    <row r="18" spans="1:59">
      <c r="A18" s="35" t="s">
        <v>21</v>
      </c>
      <c r="B18" s="24" t="s">
        <v>60</v>
      </c>
      <c r="D18" s="68">
        <v>5576</v>
      </c>
      <c r="E18" s="68">
        <v>242</v>
      </c>
      <c r="F18" s="67">
        <v>0</v>
      </c>
      <c r="G18" s="67">
        <v>0</v>
      </c>
      <c r="H18" s="67">
        <v>0</v>
      </c>
      <c r="I18" s="67"/>
    </row>
    <row r="19" spans="1:59">
      <c r="A19" s="35" t="s">
        <v>30</v>
      </c>
      <c r="B19" s="24" t="s">
        <v>69</v>
      </c>
      <c r="D19" s="68">
        <v>2600</v>
      </c>
      <c r="E19" s="68">
        <v>1185</v>
      </c>
      <c r="F19" s="67">
        <v>2500</v>
      </c>
      <c r="G19" s="67">
        <v>2500</v>
      </c>
      <c r="H19" s="67">
        <v>2500</v>
      </c>
      <c r="I19" s="67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</row>
    <row r="20" spans="1:59">
      <c r="A20" s="35"/>
      <c r="D20" s="94">
        <f t="shared" ref="D20:I20" si="3">SUM(D18:D19)</f>
        <v>8176</v>
      </c>
      <c r="E20" s="94">
        <f t="shared" si="3"/>
        <v>1427</v>
      </c>
      <c r="F20" s="79">
        <f t="shared" si="3"/>
        <v>2500</v>
      </c>
      <c r="G20" s="79">
        <f t="shared" si="3"/>
        <v>2500</v>
      </c>
      <c r="H20" s="79">
        <f t="shared" ref="H20" si="4">SUM(H18:H19)</f>
        <v>2500</v>
      </c>
      <c r="I20" s="79">
        <f t="shared" si="3"/>
        <v>0</v>
      </c>
      <c r="AT20" s="62"/>
      <c r="AU20" s="62"/>
      <c r="AV20" s="62"/>
      <c r="AW20" s="62"/>
    </row>
    <row r="21" spans="1:59">
      <c r="A21" s="30" t="s">
        <v>39</v>
      </c>
      <c r="D21" s="68"/>
      <c r="E21" s="68"/>
      <c r="F21" s="67"/>
      <c r="G21" s="67"/>
      <c r="H21" s="67"/>
      <c r="I21" s="67"/>
    </row>
    <row r="22" spans="1:59">
      <c r="A22" s="74" t="s">
        <v>212</v>
      </c>
      <c r="B22" s="24" t="s">
        <v>744</v>
      </c>
      <c r="D22" s="68">
        <v>50000</v>
      </c>
      <c r="E22" s="68">
        <v>50000</v>
      </c>
      <c r="F22" s="67">
        <v>50000</v>
      </c>
      <c r="G22" s="67">
        <v>50000</v>
      </c>
      <c r="H22" s="67">
        <v>50000</v>
      </c>
      <c r="I22" s="67"/>
    </row>
    <row r="23" spans="1:59">
      <c r="A23" s="74" t="s">
        <v>260</v>
      </c>
      <c r="B23" s="24" t="s">
        <v>261</v>
      </c>
      <c r="D23" s="68">
        <v>5000</v>
      </c>
      <c r="E23" s="68">
        <v>5000</v>
      </c>
      <c r="F23" s="67">
        <v>5000</v>
      </c>
      <c r="G23" s="67">
        <v>5000</v>
      </c>
      <c r="H23" s="67">
        <v>5000</v>
      </c>
      <c r="I23" s="67"/>
    </row>
    <row r="24" spans="1:59">
      <c r="A24" s="35"/>
      <c r="D24" s="94">
        <f t="shared" ref="D24:I24" si="5">SUM(D22:D23)</f>
        <v>55000</v>
      </c>
      <c r="E24" s="94">
        <f t="shared" si="5"/>
        <v>55000</v>
      </c>
      <c r="F24" s="79">
        <f t="shared" si="5"/>
        <v>55000</v>
      </c>
      <c r="G24" s="79">
        <f t="shared" si="5"/>
        <v>55000</v>
      </c>
      <c r="H24" s="79">
        <f t="shared" ref="H24" si="6">SUM(H22:H23)</f>
        <v>55000</v>
      </c>
      <c r="I24" s="79">
        <f t="shared" si="5"/>
        <v>0</v>
      </c>
    </row>
    <row r="25" spans="1:59">
      <c r="A25" s="30" t="s">
        <v>163</v>
      </c>
      <c r="D25" s="68"/>
      <c r="E25" s="68"/>
      <c r="F25" s="67"/>
      <c r="G25" s="67"/>
      <c r="H25" s="67"/>
      <c r="I25" s="67"/>
      <c r="L25"/>
      <c r="M25"/>
      <c r="N25"/>
      <c r="O25"/>
    </row>
    <row r="26" spans="1:59">
      <c r="A26" s="35" t="s">
        <v>37</v>
      </c>
      <c r="B26" s="24" t="s">
        <v>79</v>
      </c>
      <c r="D26" s="68">
        <v>20785</v>
      </c>
      <c r="E26" s="68">
        <v>6004</v>
      </c>
      <c r="F26" s="67">
        <v>10000</v>
      </c>
      <c r="G26" s="67">
        <f>10000+30000</f>
        <v>40000</v>
      </c>
      <c r="H26" s="67">
        <v>40000</v>
      </c>
      <c r="I26" s="67"/>
      <c r="L26"/>
      <c r="M26"/>
      <c r="N26"/>
      <c r="O26"/>
    </row>
    <row r="27" spans="1:59">
      <c r="A27" s="35"/>
      <c r="D27" s="94">
        <f t="shared" ref="D27:I27" si="7">SUM(D26:D26)</f>
        <v>20785</v>
      </c>
      <c r="E27" s="94">
        <f t="shared" si="7"/>
        <v>6004</v>
      </c>
      <c r="F27" s="79">
        <f t="shared" si="7"/>
        <v>10000</v>
      </c>
      <c r="G27" s="79">
        <f t="shared" si="7"/>
        <v>40000</v>
      </c>
      <c r="H27" s="79">
        <f t="shared" ref="H27" si="8">SUM(H26:H26)</f>
        <v>40000</v>
      </c>
      <c r="I27" s="79">
        <f t="shared" si="7"/>
        <v>0</v>
      </c>
      <c r="L27"/>
      <c r="M27"/>
      <c r="N27"/>
      <c r="O27"/>
    </row>
    <row r="28" spans="1:59">
      <c r="A28" s="35"/>
      <c r="D28" s="68"/>
      <c r="E28" s="68"/>
      <c r="F28" s="67"/>
      <c r="G28" s="67"/>
      <c r="H28" s="67"/>
      <c r="I28" s="67"/>
      <c r="L28"/>
      <c r="M28"/>
      <c r="N28"/>
      <c r="O28"/>
    </row>
    <row r="29" spans="1:59">
      <c r="A29" s="30" t="s">
        <v>40</v>
      </c>
      <c r="B29"/>
      <c r="D29" s="210">
        <f t="shared" ref="D29:I29" si="9">SUM(D7:D27)/2</f>
        <v>324340</v>
      </c>
      <c r="E29" s="210">
        <f t="shared" si="9"/>
        <v>297946</v>
      </c>
      <c r="F29" s="210">
        <f t="shared" si="9"/>
        <v>302116</v>
      </c>
      <c r="G29" s="202">
        <f>+G11+G16+G20+G24+G27</f>
        <v>304266</v>
      </c>
      <c r="H29" s="202">
        <f t="shared" si="9"/>
        <v>304266</v>
      </c>
      <c r="I29" s="202">
        <f t="shared" si="9"/>
        <v>0</v>
      </c>
      <c r="K29" s="36"/>
      <c r="L29" s="95"/>
      <c r="M29"/>
      <c r="N29"/>
      <c r="O29"/>
    </row>
    <row r="30" spans="1:59" customFormat="1">
      <c r="D30" s="91"/>
      <c r="E30" s="91"/>
      <c r="F30" s="91"/>
    </row>
    <row r="31" spans="1:59" customFormat="1">
      <c r="B31" s="24"/>
      <c r="D31" s="91"/>
      <c r="E31" s="91"/>
      <c r="G31" s="307"/>
    </row>
  </sheetData>
  <printOptions horizontalCentered="1"/>
  <pageMargins left="0.45" right="0.35" top="0.75" bottom="1" header="0.3" footer="0.3"/>
  <pageSetup orientation="landscape" r:id="rId1"/>
  <headerFooter>
    <oddFooter>&amp;L&amp;D FY25 Budget&amp;CPage 55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P5" sqref="N5:R5"/>
    </sheetView>
  </sheetViews>
  <sheetFormatPr defaultColWidth="9" defaultRowHeight="15"/>
  <cols>
    <col min="1" max="1" width="13.42578125" style="24" customWidth="1"/>
    <col min="2" max="2" width="9.5703125" style="24" bestFit="1" customWidth="1"/>
    <col min="3" max="3" width="4.42578125" style="24" customWidth="1"/>
    <col min="4" max="4" width="5.5703125" style="24" customWidth="1"/>
    <col min="5" max="5" width="6" style="24" customWidth="1"/>
    <col min="6" max="6" width="11.5703125" style="24" customWidth="1"/>
    <col min="7" max="7" width="9.5703125" style="24" hidden="1" customWidth="1"/>
    <col min="8" max="10" width="9.28515625" style="24" bestFit="1" customWidth="1"/>
    <col min="11" max="11" width="5.85546875" style="24" customWidth="1"/>
    <col min="12" max="13" width="6.28515625" style="24" customWidth="1"/>
    <col min="14" max="14" width="12.42578125" style="24" customWidth="1"/>
    <col min="15" max="15" width="11.140625" style="24" hidden="1" customWidth="1"/>
    <col min="16" max="18" width="11.42578125" style="24" customWidth="1"/>
    <col min="19" max="16384" width="9" style="24"/>
  </cols>
  <sheetData>
    <row r="1" spans="1:19" s="2" customFormat="1">
      <c r="A1" s="360" t="str">
        <f>+'Pers 610'!A1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9">
      <c r="A2" s="40" t="s">
        <v>42</v>
      </c>
      <c r="B2" s="41" t="s">
        <v>557</v>
      </c>
    </row>
    <row r="3" spans="1:19">
      <c r="B3" s="42"/>
    </row>
    <row r="4" spans="1:19">
      <c r="B4" s="42"/>
    </row>
    <row r="5" spans="1:19">
      <c r="B5" s="42"/>
      <c r="C5" s="44"/>
      <c r="D5" s="42"/>
      <c r="E5" s="42"/>
      <c r="F5" s="43" t="s">
        <v>624</v>
      </c>
      <c r="G5" s="43"/>
      <c r="H5" s="45"/>
      <c r="I5" s="45"/>
      <c r="J5" s="45"/>
      <c r="K5" s="44"/>
      <c r="L5" s="61"/>
      <c r="M5" s="42"/>
      <c r="N5" s="43" t="s">
        <v>662</v>
      </c>
      <c r="O5" s="43"/>
      <c r="P5" s="45"/>
      <c r="Q5" s="45"/>
      <c r="R5" s="45"/>
      <c r="S5" s="45"/>
    </row>
    <row r="6" spans="1:19" s="48" customFormat="1">
      <c r="B6" s="49" t="s">
        <v>83</v>
      </c>
      <c r="C6" s="50" t="s">
        <v>620</v>
      </c>
      <c r="D6" s="49" t="s">
        <v>86</v>
      </c>
      <c r="E6" s="49" t="s">
        <v>87</v>
      </c>
      <c r="F6" s="49" t="s">
        <v>88</v>
      </c>
      <c r="G6" s="326" t="s">
        <v>338</v>
      </c>
      <c r="H6" s="326" t="s">
        <v>90</v>
      </c>
      <c r="I6" s="327" t="s">
        <v>91</v>
      </c>
      <c r="J6" s="49" t="s">
        <v>342</v>
      </c>
      <c r="K6" s="50" t="s">
        <v>621</v>
      </c>
      <c r="L6" s="49" t="s">
        <v>86</v>
      </c>
      <c r="M6" s="49" t="s">
        <v>87</v>
      </c>
      <c r="N6" s="49" t="s">
        <v>88</v>
      </c>
      <c r="O6" s="326" t="s">
        <v>338</v>
      </c>
      <c r="P6" s="326" t="s">
        <v>90</v>
      </c>
      <c r="Q6" s="327" t="s">
        <v>91</v>
      </c>
      <c r="R6" s="49" t="s">
        <v>342</v>
      </c>
    </row>
    <row r="7" spans="1:19">
      <c r="C7" s="53"/>
      <c r="K7" s="53"/>
    </row>
    <row r="8" spans="1:19">
      <c r="A8" s="24" t="s">
        <v>416</v>
      </c>
      <c r="B8" s="189">
        <v>36766</v>
      </c>
      <c r="C8" s="52"/>
      <c r="D8" s="42"/>
      <c r="E8" s="42"/>
      <c r="F8" s="36">
        <v>70883.199999999997</v>
      </c>
      <c r="G8" s="36">
        <v>2726.28</v>
      </c>
      <c r="H8" s="36"/>
      <c r="I8" s="65">
        <v>1600</v>
      </c>
      <c r="J8" s="36">
        <v>1363.14</v>
      </c>
      <c r="K8" s="52"/>
      <c r="L8" s="42"/>
      <c r="M8" s="42"/>
      <c r="N8" s="36">
        <f>+O8*26.125</f>
        <v>73360.786950000009</v>
      </c>
      <c r="O8" s="36">
        <f>+G8*1.03</f>
        <v>2808.0684000000001</v>
      </c>
      <c r="P8" s="36"/>
      <c r="Q8" s="65">
        <v>2000</v>
      </c>
      <c r="R8" s="36">
        <f>+O8/2</f>
        <v>1404.0342000000001</v>
      </c>
    </row>
    <row r="9" spans="1:19">
      <c r="A9" s="24" t="s">
        <v>593</v>
      </c>
      <c r="B9" s="189"/>
      <c r="C9" s="52"/>
      <c r="D9" s="42"/>
      <c r="E9" s="42"/>
      <c r="F9" s="36"/>
      <c r="G9" s="36"/>
      <c r="H9" s="36"/>
      <c r="I9" s="65"/>
      <c r="J9" s="36"/>
      <c r="K9" s="52"/>
      <c r="L9" s="42"/>
      <c r="M9" s="42"/>
      <c r="N9" s="36">
        <v>20000</v>
      </c>
      <c r="O9" s="36"/>
      <c r="P9" s="36"/>
      <c r="Q9" s="65"/>
      <c r="R9" s="36"/>
    </row>
    <row r="10" spans="1:19">
      <c r="A10" s="24" t="s">
        <v>417</v>
      </c>
      <c r="B10" s="189">
        <v>36780</v>
      </c>
      <c r="C10" s="52"/>
      <c r="D10" s="42"/>
      <c r="E10" s="42"/>
      <c r="F10" s="36">
        <v>55221</v>
      </c>
      <c r="G10" s="36" t="s">
        <v>0</v>
      </c>
      <c r="H10" s="36"/>
      <c r="I10" s="65">
        <v>0</v>
      </c>
      <c r="J10" s="36">
        <v>0</v>
      </c>
      <c r="K10" s="52"/>
      <c r="L10" s="42"/>
      <c r="M10" s="42"/>
      <c r="N10" s="36">
        <v>0</v>
      </c>
      <c r="O10" s="36"/>
      <c r="P10" s="36"/>
      <c r="Q10" s="65">
        <v>0</v>
      </c>
      <c r="R10" s="36">
        <v>0</v>
      </c>
    </row>
    <row r="11" spans="1:19">
      <c r="A11" s="24" t="s">
        <v>462</v>
      </c>
      <c r="B11" s="189"/>
      <c r="C11" s="52"/>
      <c r="D11" s="42"/>
      <c r="E11" s="42"/>
      <c r="F11" s="36">
        <v>3547.36</v>
      </c>
      <c r="G11" s="36"/>
      <c r="H11" s="36"/>
      <c r="I11" s="65">
        <v>0</v>
      </c>
      <c r="J11" s="36">
        <v>0</v>
      </c>
      <c r="K11" s="52"/>
      <c r="L11" s="42"/>
      <c r="M11" s="42"/>
      <c r="N11" s="36">
        <v>0</v>
      </c>
      <c r="O11" s="36"/>
      <c r="P11" s="36"/>
      <c r="Q11" s="65">
        <v>0</v>
      </c>
      <c r="R11" s="36">
        <v>0</v>
      </c>
    </row>
    <row r="12" spans="1:19">
      <c r="B12" s="189"/>
      <c r="C12" s="52"/>
      <c r="D12" s="42"/>
      <c r="E12" s="42"/>
      <c r="F12" s="36"/>
      <c r="G12" s="36"/>
      <c r="H12" s="36"/>
      <c r="I12" s="65"/>
      <c r="J12" s="65"/>
      <c r="K12" s="52"/>
      <c r="L12" s="42"/>
      <c r="M12" s="42"/>
      <c r="N12" s="36"/>
      <c r="O12" s="36"/>
      <c r="P12" s="36"/>
      <c r="Q12" s="65"/>
      <c r="R12" s="65"/>
    </row>
    <row r="13" spans="1:19">
      <c r="B13" s="189"/>
      <c r="C13" s="52"/>
      <c r="D13" s="42"/>
      <c r="E13" s="42"/>
      <c r="F13" s="36"/>
      <c r="G13" s="36"/>
      <c r="H13" s="36"/>
      <c r="I13" s="65"/>
      <c r="J13" s="65"/>
      <c r="K13" s="52"/>
      <c r="L13" s="42"/>
      <c r="M13" s="42"/>
      <c r="N13" s="36"/>
      <c r="O13" s="36"/>
      <c r="P13" s="36"/>
      <c r="Q13" s="65"/>
      <c r="R13" s="65"/>
    </row>
    <row r="14" spans="1:19">
      <c r="B14" s="59"/>
      <c r="C14" s="52"/>
      <c r="D14" s="42"/>
      <c r="E14" s="42"/>
      <c r="F14" s="36"/>
      <c r="G14" s="36"/>
      <c r="H14" s="36"/>
      <c r="I14" s="65"/>
      <c r="J14" s="36"/>
      <c r="K14" s="52"/>
      <c r="L14" s="42"/>
      <c r="M14" s="42"/>
      <c r="N14" s="36"/>
      <c r="O14" s="36"/>
      <c r="P14" s="36"/>
      <c r="Q14" s="65"/>
      <c r="R14" s="36"/>
    </row>
    <row r="15" spans="1:19">
      <c r="B15" s="59"/>
      <c r="C15" s="56"/>
      <c r="F15" s="36"/>
      <c r="G15" s="36"/>
      <c r="H15" s="36"/>
      <c r="I15" s="36"/>
      <c r="J15" s="36"/>
      <c r="K15" s="56"/>
      <c r="N15" s="36"/>
      <c r="O15" s="36"/>
      <c r="P15" s="36"/>
      <c r="Q15" s="36"/>
      <c r="R15" s="36"/>
    </row>
    <row r="16" spans="1:19">
      <c r="B16" s="59"/>
      <c r="C16" s="56"/>
      <c r="D16" s="42"/>
      <c r="E16" s="42"/>
      <c r="F16" s="36"/>
      <c r="G16" s="36"/>
      <c r="H16" s="36"/>
      <c r="I16" s="36"/>
      <c r="J16" s="36"/>
      <c r="K16" s="56"/>
      <c r="L16" s="42"/>
      <c r="M16" s="42"/>
      <c r="N16" s="36"/>
      <c r="O16" s="36"/>
      <c r="P16" s="36"/>
      <c r="Q16" s="36"/>
      <c r="R16" s="36"/>
    </row>
    <row r="17" spans="1:18">
      <c r="A17" s="40" t="s">
        <v>96</v>
      </c>
      <c r="B17" s="42"/>
      <c r="C17" s="53"/>
      <c r="F17" s="36"/>
      <c r="K17" s="53"/>
      <c r="N17" s="36"/>
    </row>
    <row r="18" spans="1:18">
      <c r="A18" s="24" t="s">
        <v>46</v>
      </c>
      <c r="B18" s="42"/>
      <c r="C18" s="53"/>
      <c r="F18" s="36">
        <f>ROUND(+F10+F8+F11,0)</f>
        <v>129652</v>
      </c>
      <c r="K18" s="53"/>
      <c r="N18" s="36">
        <f>ROUNDUP(+N10+N8+N11,0)+N9</f>
        <v>93361</v>
      </c>
    </row>
    <row r="19" spans="1:18">
      <c r="A19" s="24" t="s">
        <v>91</v>
      </c>
      <c r="B19" s="42"/>
      <c r="C19" s="53"/>
      <c r="F19" s="36">
        <f>+I8</f>
        <v>1600</v>
      </c>
      <c r="K19" s="53"/>
      <c r="N19" s="36">
        <f>+Q8</f>
        <v>2000</v>
      </c>
    </row>
    <row r="20" spans="1:18">
      <c r="A20" s="24" t="s">
        <v>342</v>
      </c>
      <c r="B20" s="42"/>
      <c r="C20" s="53"/>
      <c r="F20" s="54">
        <f>ROUNDUP(+J8,0)</f>
        <v>1364</v>
      </c>
      <c r="K20" s="53"/>
      <c r="N20" s="54">
        <f>ROUNDUP(+R8,0)</f>
        <v>1405</v>
      </c>
    </row>
    <row r="21" spans="1:18">
      <c r="A21" s="24" t="s">
        <v>52</v>
      </c>
      <c r="B21" s="42"/>
      <c r="C21" s="53"/>
      <c r="F21" s="54">
        <v>0</v>
      </c>
      <c r="K21" s="53"/>
      <c r="N21" s="54">
        <v>0</v>
      </c>
    </row>
    <row r="22" spans="1:18">
      <c r="B22" s="42"/>
      <c r="C22" s="53"/>
      <c r="F22" s="54"/>
      <c r="K22" s="53"/>
      <c r="N22" s="54"/>
    </row>
    <row r="23" spans="1:18">
      <c r="A23" s="42" t="s">
        <v>337</v>
      </c>
      <c r="B23" s="42"/>
      <c r="C23" s="53"/>
      <c r="F23" s="186">
        <f>SUM(F18:F21)</f>
        <v>132616</v>
      </c>
      <c r="K23" s="53"/>
      <c r="N23" s="186">
        <f>SUM(N18:N21)</f>
        <v>96766</v>
      </c>
    </row>
    <row r="24" spans="1:18">
      <c r="B24" s="59"/>
      <c r="C24" s="47"/>
      <c r="D24" s="42"/>
      <c r="E24" s="42"/>
      <c r="F24" s="36"/>
      <c r="G24" s="36"/>
      <c r="H24" s="36"/>
      <c r="I24" s="36"/>
      <c r="J24" s="36"/>
      <c r="K24" s="47"/>
      <c r="L24" s="42"/>
      <c r="M24" s="42"/>
      <c r="N24" s="36"/>
      <c r="O24" s="36"/>
      <c r="P24" s="36"/>
      <c r="Q24" s="36"/>
      <c r="R24" s="36"/>
    </row>
    <row r="25" spans="1:18">
      <c r="B25" s="59"/>
      <c r="C25" s="47"/>
      <c r="D25" s="42"/>
      <c r="E25" s="42"/>
      <c r="F25" s="36"/>
      <c r="G25" s="36"/>
      <c r="H25" s="36"/>
      <c r="I25" s="36"/>
      <c r="J25" s="36"/>
      <c r="K25" s="47"/>
      <c r="L25" s="42"/>
      <c r="M25" s="42"/>
      <c r="N25" s="36"/>
      <c r="O25" s="36"/>
      <c r="P25" s="36"/>
      <c r="Q25" s="36"/>
      <c r="R25" s="36"/>
    </row>
    <row r="26" spans="1:18">
      <c r="B26" s="42"/>
    </row>
    <row r="27" spans="1:18">
      <c r="B27" s="42"/>
      <c r="F27" s="60" t="s">
        <v>626</v>
      </c>
      <c r="O27" s="60" t="s">
        <v>666</v>
      </c>
    </row>
    <row r="28" spans="1:18">
      <c r="B28" s="42"/>
      <c r="F28" s="60" t="s">
        <v>625</v>
      </c>
      <c r="O28" s="60" t="s">
        <v>664</v>
      </c>
    </row>
    <row r="29" spans="1:18">
      <c r="B29" s="42"/>
      <c r="F29" s="313"/>
      <c r="G29" s="62"/>
      <c r="H29" s="62"/>
      <c r="I29" s="62"/>
      <c r="L29" s="62"/>
      <c r="M29" s="62"/>
      <c r="N29" s="62"/>
      <c r="O29" s="313"/>
    </row>
    <row r="30" spans="1:18">
      <c r="B30" s="42"/>
    </row>
    <row r="35" spans="1:2">
      <c r="B35" s="59"/>
    </row>
    <row r="42" spans="1:2">
      <c r="A42" s="75"/>
      <c r="B42" s="75"/>
    </row>
    <row r="43" spans="1:2">
      <c r="A43" s="75"/>
      <c r="B43" s="75"/>
    </row>
  </sheetData>
  <printOptions horizontalCentered="1" gridLines="1"/>
  <pageMargins left="0.45" right="0.35" top="0.75" bottom="1" header="0.3" footer="0.3"/>
  <pageSetup scale="67" orientation="landscape" r:id="rId1"/>
  <headerFooter>
    <oddFooter>&amp;L&amp;D FY25 Budget&amp;CPage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"/>
  <sheetViews>
    <sheetView workbookViewId="0">
      <selection activeCell="H27" sqref="H27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7" width="14.42578125" style="24" customWidth="1"/>
    <col min="8" max="8" width="14.42578125" style="36" customWidth="1"/>
    <col min="9" max="9" width="14.42578125" style="24" customWidth="1"/>
    <col min="10" max="16384" width="9" style="24"/>
  </cols>
  <sheetData>
    <row r="1" spans="1:17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7">
      <c r="A2" s="30" t="s">
        <v>483</v>
      </c>
    </row>
    <row r="3" spans="1:17">
      <c r="A3" s="30" t="s">
        <v>674</v>
      </c>
    </row>
    <row r="4" spans="1:17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5" spans="1:17">
      <c r="A5" s="35"/>
      <c r="D5" s="68"/>
      <c r="E5" s="68"/>
      <c r="F5" s="67"/>
      <c r="G5" s="67"/>
      <c r="H5" s="67"/>
      <c r="I5" s="67"/>
    </row>
    <row r="6" spans="1:17">
      <c r="A6" s="30" t="s">
        <v>44</v>
      </c>
      <c r="D6" s="68"/>
      <c r="E6" s="68"/>
      <c r="F6" s="67"/>
      <c r="G6" s="67"/>
      <c r="H6" s="67"/>
      <c r="I6" s="67"/>
    </row>
    <row r="7" spans="1:17">
      <c r="A7" s="35" t="s">
        <v>11</v>
      </c>
      <c r="B7" s="24" t="s">
        <v>500</v>
      </c>
      <c r="D7" s="68">
        <v>14000</v>
      </c>
      <c r="E7" s="68">
        <v>14000</v>
      </c>
      <c r="F7" s="68">
        <v>14000</v>
      </c>
      <c r="G7" s="81">
        <v>14000</v>
      </c>
      <c r="H7" s="81">
        <v>14000</v>
      </c>
      <c r="I7" s="67"/>
    </row>
    <row r="8" spans="1:17">
      <c r="A8" s="35" t="s">
        <v>15</v>
      </c>
      <c r="B8" s="24" t="s">
        <v>55</v>
      </c>
      <c r="D8" s="68">
        <v>0</v>
      </c>
      <c r="E8" s="68">
        <v>0</v>
      </c>
      <c r="F8" s="67">
        <v>0</v>
      </c>
      <c r="G8" s="67">
        <v>0</v>
      </c>
      <c r="H8" s="67">
        <v>0</v>
      </c>
      <c r="I8" s="67"/>
    </row>
    <row r="9" spans="1:17">
      <c r="A9" s="35"/>
      <c r="D9" s="94">
        <f t="shared" ref="D9:I9" si="0">SUM(D7:D8)</f>
        <v>14000</v>
      </c>
      <c r="E9" s="94">
        <f t="shared" si="0"/>
        <v>14000</v>
      </c>
      <c r="F9" s="94">
        <f t="shared" si="0"/>
        <v>14000</v>
      </c>
      <c r="G9" s="94">
        <f t="shared" si="0"/>
        <v>14000</v>
      </c>
      <c r="H9" s="94">
        <f t="shared" si="0"/>
        <v>14000</v>
      </c>
      <c r="I9" s="94">
        <f t="shared" si="0"/>
        <v>0</v>
      </c>
    </row>
    <row r="10" spans="1:17">
      <c r="A10" s="35"/>
      <c r="D10" s="68"/>
      <c r="E10" s="68"/>
      <c r="F10" s="67"/>
      <c r="G10" s="67"/>
      <c r="H10" s="67"/>
      <c r="I10" s="67"/>
    </row>
    <row r="11" spans="1:17">
      <c r="A11" s="74">
        <v>5300</v>
      </c>
      <c r="B11" s="24" t="s">
        <v>399</v>
      </c>
      <c r="D11" s="389">
        <v>56478</v>
      </c>
      <c r="E11" s="389">
        <v>59452</v>
      </c>
      <c r="F11" s="81">
        <v>62562</v>
      </c>
      <c r="G11" s="81">
        <v>5000</v>
      </c>
      <c r="H11" s="81">
        <v>5000</v>
      </c>
      <c r="I11" s="410"/>
      <c r="K11" s="257"/>
      <c r="O11" s="411"/>
      <c r="P11" s="411"/>
      <c r="Q11" s="411"/>
    </row>
    <row r="12" spans="1:17">
      <c r="A12" s="35" t="s">
        <v>18</v>
      </c>
      <c r="B12" s="24" t="s">
        <v>249</v>
      </c>
      <c r="D12" s="68">
        <v>68627</v>
      </c>
      <c r="E12" s="68">
        <v>45655</v>
      </c>
      <c r="F12" s="67">
        <v>44000</v>
      </c>
      <c r="G12" s="67">
        <v>50000</v>
      </c>
      <c r="H12" s="67">
        <v>50000</v>
      </c>
      <c r="I12" s="67"/>
    </row>
    <row r="13" spans="1:17">
      <c r="A13" s="74">
        <v>5360</v>
      </c>
      <c r="B13" s="24" t="s">
        <v>396</v>
      </c>
      <c r="D13" s="68">
        <v>6989</v>
      </c>
      <c r="E13" s="68">
        <v>5690</v>
      </c>
      <c r="F13" s="67">
        <v>5000</v>
      </c>
      <c r="G13" s="67">
        <v>0</v>
      </c>
      <c r="H13" s="67">
        <v>0</v>
      </c>
      <c r="I13" s="67"/>
    </row>
    <row r="14" spans="1:17">
      <c r="A14" s="35" t="s">
        <v>20</v>
      </c>
      <c r="B14" s="24" t="s">
        <v>461</v>
      </c>
      <c r="D14" s="68">
        <v>13325</v>
      </c>
      <c r="E14" s="68">
        <v>12514</v>
      </c>
      <c r="F14" s="67">
        <v>14800</v>
      </c>
      <c r="G14" s="67">
        <v>0</v>
      </c>
      <c r="H14" s="67">
        <v>0</v>
      </c>
    </row>
    <row r="15" spans="1:17">
      <c r="A15" s="74">
        <v>5382</v>
      </c>
      <c r="B15" s="24" t="s">
        <v>470</v>
      </c>
      <c r="D15" s="68">
        <v>0</v>
      </c>
      <c r="E15" s="68">
        <v>0</v>
      </c>
      <c r="F15" s="67">
        <v>0</v>
      </c>
      <c r="G15" s="67">
        <v>5000</v>
      </c>
      <c r="H15" s="67">
        <v>5000</v>
      </c>
      <c r="I15" s="67"/>
      <c r="K15" s="426"/>
    </row>
    <row r="16" spans="1:17">
      <c r="A16" s="74">
        <v>5782</v>
      </c>
      <c r="B16" s="24" t="s">
        <v>76</v>
      </c>
      <c r="D16" s="68">
        <v>1000</v>
      </c>
      <c r="E16" s="68">
        <v>1000</v>
      </c>
      <c r="F16" s="67">
        <v>1500</v>
      </c>
      <c r="G16" s="67">
        <v>0</v>
      </c>
      <c r="H16" s="67">
        <v>0</v>
      </c>
      <c r="I16" s="67"/>
      <c r="K16" s="426"/>
    </row>
    <row r="17" spans="1:59">
      <c r="A17" s="74">
        <v>5783</v>
      </c>
      <c r="B17" s="24" t="s">
        <v>77</v>
      </c>
      <c r="D17" s="68">
        <v>0</v>
      </c>
      <c r="E17" s="68">
        <v>0</v>
      </c>
      <c r="F17" s="67">
        <v>250</v>
      </c>
      <c r="G17" s="67">
        <v>500</v>
      </c>
      <c r="H17" s="67">
        <v>500</v>
      </c>
      <c r="I17" s="67"/>
    </row>
    <row r="18" spans="1:59">
      <c r="A18" s="74">
        <v>5787</v>
      </c>
      <c r="B18" s="24" t="s">
        <v>78</v>
      </c>
      <c r="D18" s="68">
        <v>0</v>
      </c>
      <c r="E18" s="68">
        <v>0</v>
      </c>
      <c r="F18" s="67">
        <v>500</v>
      </c>
      <c r="G18" s="67">
        <v>0</v>
      </c>
      <c r="H18" s="67">
        <v>0</v>
      </c>
      <c r="I18" s="67"/>
    </row>
    <row r="19" spans="1:59">
      <c r="A19" s="35"/>
      <c r="D19" s="94">
        <f t="shared" ref="D19:I19" si="1">SUM(D11:D18)</f>
        <v>146419</v>
      </c>
      <c r="E19" s="94">
        <f t="shared" si="1"/>
        <v>124311</v>
      </c>
      <c r="F19" s="79">
        <f t="shared" si="1"/>
        <v>128612</v>
      </c>
      <c r="G19" s="79">
        <f t="shared" si="1"/>
        <v>60500</v>
      </c>
      <c r="H19" s="79">
        <f t="shared" si="1"/>
        <v>60500</v>
      </c>
      <c r="I19" s="79">
        <f t="shared" si="1"/>
        <v>0</v>
      </c>
    </row>
    <row r="20" spans="1:59">
      <c r="A20" s="35"/>
      <c r="D20" s="68"/>
      <c r="E20" s="68"/>
      <c r="F20" s="67"/>
      <c r="G20" s="67"/>
      <c r="H20" s="67"/>
      <c r="I20" s="67"/>
    </row>
    <row r="21" spans="1:59">
      <c r="A21" s="30" t="s">
        <v>43</v>
      </c>
      <c r="B21" s="24" t="s">
        <v>0</v>
      </c>
      <c r="D21" s="68" t="s">
        <v>0</v>
      </c>
      <c r="E21" s="68" t="s">
        <v>0</v>
      </c>
      <c r="F21" s="67"/>
      <c r="G21" s="67"/>
      <c r="H21" s="67"/>
      <c r="I21" s="67"/>
    </row>
    <row r="22" spans="1:59">
      <c r="A22" s="35" t="s">
        <v>21</v>
      </c>
      <c r="B22" s="24" t="s">
        <v>60</v>
      </c>
      <c r="D22" s="68">
        <v>179</v>
      </c>
      <c r="E22" s="68">
        <v>576</v>
      </c>
      <c r="F22" s="67">
        <v>1000</v>
      </c>
      <c r="G22" s="67">
        <v>0</v>
      </c>
      <c r="H22" s="67">
        <v>0</v>
      </c>
      <c r="I22" s="67"/>
    </row>
    <row r="23" spans="1:59">
      <c r="A23" s="35" t="s">
        <v>30</v>
      </c>
      <c r="B23" s="24" t="s">
        <v>69</v>
      </c>
      <c r="D23" s="68">
        <v>0</v>
      </c>
      <c r="E23" s="68">
        <v>0</v>
      </c>
      <c r="F23" s="67">
        <v>1000</v>
      </c>
      <c r="G23" s="67">
        <v>0</v>
      </c>
      <c r="H23" s="67">
        <v>0</v>
      </c>
      <c r="I23" s="67"/>
    </row>
    <row r="24" spans="1:59">
      <c r="A24" s="35"/>
      <c r="D24" s="94">
        <f t="shared" ref="D24:I24" si="2">SUM(D22:D23)</f>
        <v>179</v>
      </c>
      <c r="E24" s="94">
        <f t="shared" si="2"/>
        <v>576</v>
      </c>
      <c r="F24" s="79">
        <f t="shared" si="2"/>
        <v>2000</v>
      </c>
      <c r="G24" s="79">
        <f t="shared" si="2"/>
        <v>0</v>
      </c>
      <c r="H24" s="79">
        <f t="shared" si="2"/>
        <v>0</v>
      </c>
      <c r="I24" s="79">
        <f t="shared" si="2"/>
        <v>0</v>
      </c>
    </row>
    <row r="25" spans="1:59">
      <c r="A25" s="35"/>
      <c r="D25" s="68"/>
      <c r="E25" s="68"/>
      <c r="F25" s="67"/>
      <c r="G25" s="67"/>
      <c r="H25" s="67"/>
      <c r="I25" s="67"/>
    </row>
    <row r="26" spans="1:59">
      <c r="D26" s="68"/>
      <c r="E26" s="68"/>
      <c r="F26" s="67"/>
      <c r="G26" s="67"/>
      <c r="H26" s="67"/>
      <c r="I26" s="67"/>
    </row>
    <row r="27" spans="1:59">
      <c r="A27" s="30" t="s">
        <v>40</v>
      </c>
      <c r="D27" s="210">
        <f t="shared" ref="D27:I27" si="3">+D24+D19+D9</f>
        <v>160598</v>
      </c>
      <c r="E27" s="210">
        <f t="shared" si="3"/>
        <v>138887</v>
      </c>
      <c r="F27" s="210">
        <f t="shared" si="3"/>
        <v>144612</v>
      </c>
      <c r="G27" s="210">
        <f t="shared" si="3"/>
        <v>74500</v>
      </c>
      <c r="H27" s="210">
        <f t="shared" si="3"/>
        <v>74500</v>
      </c>
      <c r="I27" s="210">
        <f t="shared" si="3"/>
        <v>0</v>
      </c>
    </row>
    <row r="29" spans="1:59">
      <c r="D29" s="372"/>
      <c r="E29" s="375"/>
      <c r="F29" s="185"/>
      <c r="G29" s="202"/>
    </row>
    <row r="31" spans="1:59"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</row>
    <row r="32" spans="1:59">
      <c r="AT32" s="62"/>
      <c r="AU32" s="62"/>
      <c r="AV32" s="62"/>
      <c r="AW32" s="62"/>
    </row>
  </sheetData>
  <phoneticPr fontId="0" type="noConversion"/>
  <printOptions horizontalCentered="1"/>
  <pageMargins left="0.45" right="0.35" top="0.75" bottom="1" header="0.3" footer="0.3"/>
  <pageSetup orientation="landscape" blackAndWhite="1" r:id="rId1"/>
  <headerFooter>
    <oddFooter xml:space="preserve">&amp;L&amp;D FY25 Budget&amp;CPage 3
</oddFooter>
  </headerFooter>
  <ignoredErrors>
    <ignoredError sqref="A19:A25 A12 A5:A7 A8:A10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workbookViewId="0">
      <selection activeCell="H14" sqref="H14"/>
    </sheetView>
  </sheetViews>
  <sheetFormatPr defaultColWidth="9" defaultRowHeight="15"/>
  <cols>
    <col min="1" max="1" width="9.42578125" style="24" customWidth="1"/>
    <col min="2" max="2" width="15.42578125" style="24" customWidth="1"/>
    <col min="3" max="3" width="11.42578125" style="24" customWidth="1"/>
    <col min="4" max="5" width="14.42578125" style="62" customWidth="1"/>
    <col min="6" max="9" width="14.42578125" style="24" customWidth="1"/>
    <col min="10" max="16384" width="9" style="24"/>
  </cols>
  <sheetData>
    <row r="1" spans="1:9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1"/>
      <c r="H1" s="1"/>
      <c r="I1" s="1"/>
    </row>
    <row r="2" spans="1:9">
      <c r="A2" s="30" t="s">
        <v>484</v>
      </c>
    </row>
    <row r="3" spans="1:9">
      <c r="A3" s="30" t="s">
        <v>101</v>
      </c>
    </row>
    <row r="4" spans="1:9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9">
      <c r="A6" s="35"/>
      <c r="D6" s="68"/>
      <c r="E6" s="68"/>
      <c r="F6" s="67"/>
      <c r="G6" s="67"/>
      <c r="H6" s="67"/>
      <c r="I6" s="67"/>
    </row>
    <row r="7" spans="1:9">
      <c r="A7" s="30" t="s">
        <v>44</v>
      </c>
      <c r="D7" s="68"/>
      <c r="E7" s="68"/>
      <c r="F7" s="67"/>
      <c r="G7" s="67"/>
      <c r="H7" s="67"/>
      <c r="I7" s="67"/>
    </row>
    <row r="8" spans="1:9">
      <c r="A8" s="35" t="s">
        <v>16</v>
      </c>
      <c r="B8" s="24" t="s">
        <v>56</v>
      </c>
      <c r="D8" s="68">
        <v>0</v>
      </c>
      <c r="E8" s="68">
        <v>0</v>
      </c>
      <c r="F8" s="67">
        <v>0</v>
      </c>
      <c r="G8" s="67">
        <v>0</v>
      </c>
      <c r="H8" s="67">
        <v>0</v>
      </c>
      <c r="I8" s="67"/>
    </row>
    <row r="9" spans="1:9">
      <c r="A9" s="35" t="s">
        <v>20</v>
      </c>
      <c r="B9" s="24" t="s">
        <v>59</v>
      </c>
      <c r="D9" s="68">
        <v>4239</v>
      </c>
      <c r="E9" s="68">
        <v>4569</v>
      </c>
      <c r="F9" s="67">
        <v>6500</v>
      </c>
      <c r="G9" s="81">
        <v>6500</v>
      </c>
      <c r="H9" s="81">
        <v>6500</v>
      </c>
      <c r="I9" s="67"/>
    </row>
    <row r="10" spans="1:9">
      <c r="A10" s="35"/>
      <c r="D10" s="94">
        <f t="shared" ref="D10:I10" si="0">SUM(D8:D9)</f>
        <v>4239</v>
      </c>
      <c r="E10" s="94">
        <f t="shared" si="0"/>
        <v>4569</v>
      </c>
      <c r="F10" s="79">
        <f t="shared" si="0"/>
        <v>6500</v>
      </c>
      <c r="G10" s="79">
        <f t="shared" si="0"/>
        <v>6500</v>
      </c>
      <c r="H10" s="79">
        <f t="shared" si="0"/>
        <v>6500</v>
      </c>
      <c r="I10" s="79">
        <f t="shared" si="0"/>
        <v>0</v>
      </c>
    </row>
    <row r="11" spans="1:9">
      <c r="A11" s="35"/>
      <c r="D11" s="68"/>
      <c r="E11" s="68"/>
      <c r="F11" s="67"/>
      <c r="G11" s="67"/>
      <c r="H11" s="67"/>
      <c r="I11" s="67"/>
    </row>
    <row r="12" spans="1:9">
      <c r="A12" s="30" t="s">
        <v>39</v>
      </c>
      <c r="D12" s="68"/>
      <c r="E12" s="68"/>
      <c r="F12" s="67"/>
      <c r="G12" s="67"/>
      <c r="H12" s="67"/>
      <c r="I12" s="67"/>
    </row>
    <row r="13" spans="1:9">
      <c r="A13" s="35" t="s">
        <v>33</v>
      </c>
      <c r="B13" s="24" t="s">
        <v>71</v>
      </c>
      <c r="D13" s="249">
        <v>210</v>
      </c>
      <c r="E13" s="249">
        <v>214</v>
      </c>
      <c r="F13" s="78">
        <v>250</v>
      </c>
      <c r="G13" s="78">
        <v>250</v>
      </c>
      <c r="H13" s="78">
        <v>250</v>
      </c>
      <c r="I13" s="78"/>
    </row>
    <row r="14" spans="1:9">
      <c r="A14" s="35"/>
      <c r="D14" s="68">
        <f t="shared" ref="D14:I14" si="1">SUM(D13:D13)</f>
        <v>210</v>
      </c>
      <c r="E14" s="68">
        <f t="shared" si="1"/>
        <v>214</v>
      </c>
      <c r="F14" s="67">
        <f t="shared" si="1"/>
        <v>250</v>
      </c>
      <c r="G14" s="67">
        <f t="shared" si="1"/>
        <v>250</v>
      </c>
      <c r="H14" s="67">
        <f t="shared" si="1"/>
        <v>250</v>
      </c>
      <c r="I14" s="67">
        <f t="shared" si="1"/>
        <v>0</v>
      </c>
    </row>
    <row r="15" spans="1:9">
      <c r="D15" s="250"/>
      <c r="E15" s="250"/>
      <c r="F15" s="29"/>
      <c r="G15" s="29"/>
      <c r="H15" s="29"/>
      <c r="I15" s="29"/>
    </row>
    <row r="16" spans="1:9">
      <c r="D16" s="68"/>
      <c r="E16" s="68"/>
      <c r="F16" s="67"/>
      <c r="G16" s="67"/>
      <c r="H16" s="67"/>
      <c r="I16" s="67"/>
    </row>
    <row r="17" spans="1:59">
      <c r="A17" s="30" t="s">
        <v>40</v>
      </c>
      <c r="D17" s="210">
        <f t="shared" ref="D17:I17" si="2">+D10+D14</f>
        <v>4449</v>
      </c>
      <c r="E17" s="210">
        <f t="shared" si="2"/>
        <v>4783</v>
      </c>
      <c r="F17" s="202">
        <f t="shared" si="2"/>
        <v>6750</v>
      </c>
      <c r="G17" s="202">
        <f t="shared" si="2"/>
        <v>6750</v>
      </c>
      <c r="H17" s="202">
        <f t="shared" si="2"/>
        <v>6750</v>
      </c>
      <c r="I17" s="202">
        <f t="shared" si="2"/>
        <v>0</v>
      </c>
    </row>
    <row r="18" spans="1:59">
      <c r="D18" s="68"/>
      <c r="E18" s="68"/>
      <c r="F18" s="67"/>
      <c r="G18" s="67"/>
      <c r="H18" s="67"/>
      <c r="I18" s="67"/>
    </row>
    <row r="19" spans="1:59">
      <c r="D19" s="372"/>
      <c r="H19" s="37"/>
    </row>
    <row r="32" spans="1:59"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</row>
    <row r="33" spans="46:49">
      <c r="AT33" s="62"/>
      <c r="AU33" s="62"/>
      <c r="AV33" s="62"/>
      <c r="AW33" s="62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4</oddFooter>
  </headerFooter>
  <ignoredErrors>
    <ignoredError sqref="A8:A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"/>
  <sheetViews>
    <sheetView topLeftCell="A7" workbookViewId="0">
      <selection activeCell="H18" sqref="H18"/>
    </sheetView>
  </sheetViews>
  <sheetFormatPr defaultColWidth="9" defaultRowHeight="15"/>
  <cols>
    <col min="1" max="1" width="8" style="24" customWidth="1"/>
    <col min="2" max="2" width="15.42578125" style="24" customWidth="1"/>
    <col min="3" max="3" width="11.42578125" style="24" customWidth="1"/>
    <col min="4" max="5" width="14.42578125" style="62" customWidth="1"/>
    <col min="6" max="6" width="14.42578125" style="24" customWidth="1"/>
    <col min="7" max="8" width="14.42578125" style="36" customWidth="1"/>
    <col min="9" max="9" width="14.42578125" style="24" customWidth="1"/>
    <col min="10" max="10" width="6.42578125" style="24" customWidth="1"/>
    <col min="11" max="16384" width="9" style="24"/>
  </cols>
  <sheetData>
    <row r="1" spans="1:12" s="2" customFormat="1">
      <c r="A1" s="1" t="str">
        <f>+Summary!A1</f>
        <v>Fiscal Year 2025 Budget Worksheet</v>
      </c>
      <c r="B1" s="1"/>
      <c r="C1" s="1"/>
      <c r="D1" s="373"/>
      <c r="E1" s="373"/>
      <c r="F1" s="1"/>
      <c r="G1" s="39"/>
      <c r="H1" s="39"/>
      <c r="I1" s="1"/>
    </row>
    <row r="2" spans="1:12">
      <c r="A2" s="30" t="s">
        <v>485</v>
      </c>
      <c r="B2" s="30"/>
    </row>
    <row r="3" spans="1:12">
      <c r="A3" s="30" t="s">
        <v>482</v>
      </c>
      <c r="B3" s="30"/>
    </row>
    <row r="4" spans="1:12" ht="43.5" customHeight="1">
      <c r="A4" s="31"/>
      <c r="B4" s="32" t="s">
        <v>41</v>
      </c>
      <c r="C4" s="33" t="s">
        <v>0</v>
      </c>
      <c r="D4" s="421" t="str">
        <f>+'Dept 122'!D4</f>
        <v>FY22 Actual</v>
      </c>
      <c r="E4" s="421" t="str">
        <f>+'Dept 122'!E4</f>
        <v>FY23 Actual</v>
      </c>
      <c r="F4" s="421" t="str">
        <f>+'Dept 122'!F4</f>
        <v>FY24 Budget</v>
      </c>
      <c r="G4" s="421" t="str">
        <f>+'Dept 122'!G4</f>
        <v>FY25 Request</v>
      </c>
      <c r="H4" s="33" t="s">
        <v>81</v>
      </c>
      <c r="I4" s="33" t="s">
        <v>82</v>
      </c>
    </row>
    <row r="6" spans="1:12">
      <c r="A6" s="34" t="s">
        <v>38</v>
      </c>
    </row>
    <row r="7" spans="1:12">
      <c r="A7" s="35" t="s">
        <v>1</v>
      </c>
      <c r="B7" s="24" t="s">
        <v>45</v>
      </c>
      <c r="D7" s="68">
        <v>126432</v>
      </c>
      <c r="E7" s="68">
        <v>131779</v>
      </c>
      <c r="F7" s="67">
        <v>141000</v>
      </c>
      <c r="G7" s="81">
        <f>'Pers 135'!N16</f>
        <v>145929</v>
      </c>
      <c r="H7" s="81">
        <v>145929</v>
      </c>
      <c r="I7" s="67"/>
      <c r="K7" s="426"/>
      <c r="L7" s="36"/>
    </row>
    <row r="8" spans="1:12">
      <c r="A8" s="35" t="s">
        <v>2</v>
      </c>
      <c r="B8" s="24" t="s">
        <v>46</v>
      </c>
      <c r="D8" s="68">
        <v>43602</v>
      </c>
      <c r="E8" s="68">
        <v>34391</v>
      </c>
      <c r="F8" s="67">
        <v>35000</v>
      </c>
      <c r="G8" s="81">
        <f>'Pers 135'!N17</f>
        <v>35000</v>
      </c>
      <c r="H8" s="81">
        <v>35000</v>
      </c>
      <c r="I8" s="67"/>
    </row>
    <row r="9" spans="1:12">
      <c r="A9" s="35" t="s">
        <v>6</v>
      </c>
      <c r="B9" s="24" t="s">
        <v>91</v>
      </c>
      <c r="D9" s="68">
        <v>375</v>
      </c>
      <c r="E9" s="68">
        <v>375</v>
      </c>
      <c r="F9" s="67">
        <v>500</v>
      </c>
      <c r="G9" s="81">
        <f>'Pers 135'!N18</f>
        <v>500</v>
      </c>
      <c r="H9" s="81">
        <v>500</v>
      </c>
      <c r="I9" s="67"/>
    </row>
    <row r="10" spans="1:12">
      <c r="A10" s="74">
        <v>5190</v>
      </c>
      <c r="B10" s="24" t="s">
        <v>342</v>
      </c>
      <c r="D10" s="68">
        <v>4699</v>
      </c>
      <c r="E10" s="68">
        <v>5068</v>
      </c>
      <c r="F10" s="67">
        <v>2712</v>
      </c>
      <c r="G10" s="81">
        <f>'Pers 135'!N19</f>
        <v>2793</v>
      </c>
      <c r="H10" s="81">
        <v>2793</v>
      </c>
      <c r="I10" s="67"/>
    </row>
    <row r="11" spans="1:12">
      <c r="A11" s="74">
        <v>5192</v>
      </c>
      <c r="B11" s="24" t="s">
        <v>52</v>
      </c>
      <c r="D11" s="249">
        <v>0</v>
      </c>
      <c r="E11" s="249">
        <v>0</v>
      </c>
      <c r="F11" s="78">
        <v>0</v>
      </c>
      <c r="G11" s="357">
        <f>'Pers 135'!N20</f>
        <v>0</v>
      </c>
      <c r="H11" s="357">
        <v>0</v>
      </c>
      <c r="I11" s="78"/>
    </row>
    <row r="12" spans="1:12">
      <c r="A12" s="35"/>
      <c r="D12" s="68">
        <f t="shared" ref="D12:I12" si="0">SUM(D7:D11)</f>
        <v>175108</v>
      </c>
      <c r="E12" s="68">
        <f t="shared" si="0"/>
        <v>171613</v>
      </c>
      <c r="F12" s="67">
        <f t="shared" si="0"/>
        <v>179212</v>
      </c>
      <c r="G12" s="81">
        <f>SUM(G7:G11)</f>
        <v>184222</v>
      </c>
      <c r="H12" s="81">
        <f t="shared" si="0"/>
        <v>184222</v>
      </c>
      <c r="I12" s="67">
        <f t="shared" si="0"/>
        <v>0</v>
      </c>
      <c r="J12" s="37" t="s">
        <v>0</v>
      </c>
      <c r="L12" s="36"/>
    </row>
    <row r="13" spans="1:12">
      <c r="A13" s="30" t="s">
        <v>44</v>
      </c>
      <c r="B13" s="30"/>
      <c r="D13" s="68"/>
      <c r="E13" s="68"/>
      <c r="F13" s="67"/>
      <c r="G13" s="81"/>
      <c r="H13" s="67"/>
      <c r="I13" s="67"/>
    </row>
    <row r="14" spans="1:12">
      <c r="A14" s="60">
        <v>5300</v>
      </c>
      <c r="B14" s="24" t="s">
        <v>399</v>
      </c>
      <c r="D14" s="68">
        <v>0</v>
      </c>
      <c r="E14" s="68">
        <v>0</v>
      </c>
      <c r="F14" s="67">
        <v>0</v>
      </c>
      <c r="G14" s="81">
        <v>20000</v>
      </c>
      <c r="H14" s="67">
        <v>20000</v>
      </c>
      <c r="I14" s="67"/>
    </row>
    <row r="15" spans="1:12">
      <c r="A15" s="35" t="s">
        <v>16</v>
      </c>
      <c r="B15" s="24" t="s">
        <v>56</v>
      </c>
      <c r="D15" s="68">
        <v>4597</v>
      </c>
      <c r="E15" s="68">
        <v>4103</v>
      </c>
      <c r="F15" s="67">
        <v>10250</v>
      </c>
      <c r="G15" s="81">
        <v>2000</v>
      </c>
      <c r="H15" s="81">
        <v>2000</v>
      </c>
      <c r="I15" s="67"/>
    </row>
    <row r="16" spans="1:12">
      <c r="A16" s="35" t="s">
        <v>20</v>
      </c>
      <c r="B16" s="24" t="s">
        <v>59</v>
      </c>
      <c r="D16" s="68">
        <v>0</v>
      </c>
      <c r="E16" s="68">
        <v>0</v>
      </c>
      <c r="F16" s="67">
        <v>0</v>
      </c>
      <c r="G16" s="81">
        <v>0</v>
      </c>
      <c r="H16" s="81">
        <v>0</v>
      </c>
      <c r="I16" s="67"/>
    </row>
    <row r="17" spans="1:59">
      <c r="A17" s="35"/>
      <c r="D17" s="94">
        <f>SUM(D14:D16)</f>
        <v>4597</v>
      </c>
      <c r="E17" s="94">
        <f t="shared" ref="E17:F17" si="1">SUM(E14:E16)</f>
        <v>4103</v>
      </c>
      <c r="F17" s="94">
        <f t="shared" si="1"/>
        <v>10250</v>
      </c>
      <c r="G17" s="94">
        <f>SUM(G14:G16)</f>
        <v>22000</v>
      </c>
      <c r="H17" s="352">
        <f>SUM(H14:H16)</f>
        <v>22000</v>
      </c>
      <c r="I17" s="79">
        <f t="shared" ref="I17" si="2">SUM(I15:I16)</f>
        <v>0</v>
      </c>
    </row>
    <row r="18" spans="1:59">
      <c r="A18" s="30" t="s">
        <v>43</v>
      </c>
      <c r="B18" s="30"/>
      <c r="D18" s="68"/>
      <c r="E18" s="68"/>
      <c r="F18" s="67"/>
      <c r="G18" s="81"/>
      <c r="H18" s="67"/>
      <c r="I18" s="67"/>
    </row>
    <row r="19" spans="1:59">
      <c r="A19" s="35" t="s">
        <v>21</v>
      </c>
      <c r="B19" s="24" t="s">
        <v>60</v>
      </c>
      <c r="D19" s="68">
        <v>1308</v>
      </c>
      <c r="E19" s="68">
        <v>2374</v>
      </c>
      <c r="F19" s="67">
        <v>2000</v>
      </c>
      <c r="G19" s="81">
        <v>2800</v>
      </c>
      <c r="H19" s="81">
        <v>2800</v>
      </c>
      <c r="I19" s="67"/>
    </row>
    <row r="20" spans="1:59">
      <c r="A20" s="35" t="s">
        <v>30</v>
      </c>
      <c r="B20" s="24" t="s">
        <v>69</v>
      </c>
      <c r="D20" s="68">
        <v>0</v>
      </c>
      <c r="E20" s="68">
        <v>0</v>
      </c>
      <c r="F20" s="67">
        <v>0</v>
      </c>
      <c r="G20" s="81">
        <v>0</v>
      </c>
      <c r="H20" s="67">
        <v>0</v>
      </c>
      <c r="I20" s="67"/>
    </row>
    <row r="21" spans="1:59">
      <c r="A21" s="35"/>
      <c r="D21" s="94">
        <f t="shared" ref="D21:I21" si="3">SUM(D19:D20)</f>
        <v>1308</v>
      </c>
      <c r="E21" s="94">
        <f t="shared" si="3"/>
        <v>2374</v>
      </c>
      <c r="F21" s="79">
        <f t="shared" si="3"/>
        <v>2000</v>
      </c>
      <c r="G21" s="352">
        <f>SUM(G19:G20)</f>
        <v>2800</v>
      </c>
      <c r="H21" s="352">
        <f t="shared" si="3"/>
        <v>2800</v>
      </c>
      <c r="I21" s="79">
        <f t="shared" si="3"/>
        <v>0</v>
      </c>
    </row>
    <row r="22" spans="1:59">
      <c r="A22" s="35"/>
      <c r="D22" s="68"/>
      <c r="E22" s="68"/>
      <c r="F22" s="67"/>
      <c r="G22" s="81"/>
      <c r="H22" s="67"/>
      <c r="I22" s="67"/>
    </row>
    <row r="23" spans="1:59">
      <c r="A23" s="30" t="s">
        <v>39</v>
      </c>
      <c r="B23" s="30"/>
      <c r="D23" s="68"/>
      <c r="E23" s="68"/>
      <c r="F23" s="67"/>
      <c r="G23" s="81"/>
      <c r="H23" s="67"/>
      <c r="I23" s="67"/>
    </row>
    <row r="24" spans="1:59">
      <c r="A24" s="35" t="s">
        <v>31</v>
      </c>
      <c r="B24" s="24" t="s">
        <v>553</v>
      </c>
      <c r="D24" s="68">
        <v>139</v>
      </c>
      <c r="E24" s="68">
        <v>130</v>
      </c>
      <c r="F24" s="67">
        <v>200</v>
      </c>
      <c r="G24" s="81">
        <v>200</v>
      </c>
      <c r="H24" s="67">
        <v>200</v>
      </c>
      <c r="I24" s="67"/>
    </row>
    <row r="25" spans="1:59">
      <c r="A25" s="35" t="s">
        <v>33</v>
      </c>
      <c r="B25" s="24" t="s">
        <v>71</v>
      </c>
      <c r="D25" s="68">
        <v>35</v>
      </c>
      <c r="E25" s="68">
        <v>40</v>
      </c>
      <c r="F25" s="67">
        <v>300</v>
      </c>
      <c r="G25" s="81">
        <v>100</v>
      </c>
      <c r="H25" s="67">
        <v>100</v>
      </c>
      <c r="I25" s="67"/>
    </row>
    <row r="26" spans="1:59">
      <c r="A26" s="35"/>
      <c r="D26" s="94">
        <f t="shared" ref="D26:I26" si="4">SUM(D24:D25)</f>
        <v>174</v>
      </c>
      <c r="E26" s="94">
        <f t="shared" si="4"/>
        <v>170</v>
      </c>
      <c r="F26" s="79">
        <f t="shared" si="4"/>
        <v>500</v>
      </c>
      <c r="G26" s="352">
        <f t="shared" si="4"/>
        <v>300</v>
      </c>
      <c r="H26" s="352">
        <f>SUM(H24:H25)</f>
        <v>300</v>
      </c>
      <c r="I26" s="79">
        <f t="shared" si="4"/>
        <v>0</v>
      </c>
    </row>
    <row r="27" spans="1:59">
      <c r="A27" s="35"/>
      <c r="B27" s="30"/>
      <c r="D27" s="68"/>
      <c r="E27" s="68"/>
      <c r="F27" s="67"/>
      <c r="G27" s="81"/>
      <c r="H27" s="81"/>
      <c r="I27" s="67"/>
    </row>
    <row r="28" spans="1:59">
      <c r="A28" s="30" t="s">
        <v>40</v>
      </c>
      <c r="D28" s="210">
        <f t="shared" ref="D28:I28" si="5">+D12+D17+D21+D26</f>
        <v>181187</v>
      </c>
      <c r="E28" s="210">
        <f t="shared" si="5"/>
        <v>178260</v>
      </c>
      <c r="F28" s="210">
        <f t="shared" si="5"/>
        <v>191962</v>
      </c>
      <c r="G28" s="354">
        <f t="shared" si="5"/>
        <v>209322</v>
      </c>
      <c r="H28" s="354">
        <f>+H12+H17+H21+H26</f>
        <v>209322</v>
      </c>
      <c r="I28" s="202">
        <f t="shared" si="5"/>
        <v>0</v>
      </c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</row>
    <row r="29" spans="1:59">
      <c r="D29" s="63"/>
      <c r="E29" s="63"/>
      <c r="F29" s="36" t="s">
        <v>0</v>
      </c>
      <c r="G29" s="54"/>
      <c r="AT29" s="62"/>
      <c r="AU29" s="62"/>
      <c r="AV29" s="62"/>
      <c r="AW29" s="62"/>
    </row>
    <row r="30" spans="1:59">
      <c r="D30" s="372"/>
      <c r="E30" s="375"/>
      <c r="F30" s="185"/>
      <c r="G30" s="202"/>
    </row>
    <row r="31" spans="1:59">
      <c r="G31" s="202"/>
    </row>
    <row r="32" spans="1:59">
      <c r="G32" s="316"/>
    </row>
  </sheetData>
  <phoneticPr fontId="0" type="noConversion"/>
  <printOptions horizontalCentered="1"/>
  <pageMargins left="0.45" right="0.35" top="0.75" bottom="1" header="0.3" footer="0.3"/>
  <pageSetup orientation="landscape" r:id="rId1"/>
  <headerFooter>
    <oddFooter>&amp;L&amp;D FY25 Budget&amp;CPage 5</oddFooter>
  </headerFooter>
  <ignoredErrors>
    <ignoredError sqref="A7:A8 A29:A31 A15 A19:A27 A9 A16:A17 A12 A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workbookViewId="0">
      <selection activeCell="M9" sqref="L9:M9"/>
    </sheetView>
  </sheetViews>
  <sheetFormatPr defaultColWidth="9" defaultRowHeight="15"/>
  <cols>
    <col min="1" max="1" width="19.28515625" style="24" customWidth="1"/>
    <col min="2" max="2" width="9.7109375" style="42" customWidth="1"/>
    <col min="3" max="3" width="5.7109375" style="24" hidden="1" customWidth="1"/>
    <col min="4" max="4" width="6.42578125" style="24" customWidth="1"/>
    <col min="5" max="5" width="5.42578125" style="24" customWidth="1"/>
    <col min="6" max="6" width="11.7109375" style="24" customWidth="1"/>
    <col min="7" max="7" width="12" style="24" hidden="1" customWidth="1"/>
    <col min="8" max="10" width="9" style="24"/>
    <col min="11" max="13" width="6.5703125" style="24" customWidth="1"/>
    <col min="14" max="14" width="12.42578125" style="24" customWidth="1"/>
    <col min="15" max="15" width="12.42578125" style="24" hidden="1" customWidth="1"/>
    <col min="16" max="18" width="12.42578125" style="24" customWidth="1"/>
    <col min="19" max="16384" width="9" style="24"/>
  </cols>
  <sheetData>
    <row r="1" spans="1:22" s="2" customFormat="1">
      <c r="A1" s="360" t="str">
        <f>+Summary!A1</f>
        <v>Fiscal Year 2025 Budget Worksheet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22">
      <c r="A2" s="40" t="s">
        <v>42</v>
      </c>
      <c r="B2" s="41" t="s">
        <v>418</v>
      </c>
      <c r="K2" s="334"/>
    </row>
    <row r="3" spans="1:22">
      <c r="K3" s="53"/>
    </row>
    <row r="4" spans="1:22">
      <c r="K4" s="53"/>
    </row>
    <row r="5" spans="1:22">
      <c r="B5" s="42" t="s">
        <v>481</v>
      </c>
      <c r="C5" s="61"/>
      <c r="D5" s="42"/>
      <c r="E5" s="42"/>
      <c r="F5" s="43" t="s">
        <v>624</v>
      </c>
      <c r="G5" s="43"/>
      <c r="H5" s="45"/>
      <c r="I5" s="45"/>
      <c r="J5" s="45"/>
      <c r="K5" s="44"/>
      <c r="L5" s="42"/>
      <c r="M5" s="42"/>
      <c r="N5" s="43" t="s">
        <v>662</v>
      </c>
      <c r="O5" s="43"/>
      <c r="P5" s="45"/>
      <c r="Q5" s="45"/>
      <c r="R5" s="45"/>
    </row>
    <row r="6" spans="1:22" s="48" customFormat="1">
      <c r="B6" s="49" t="s">
        <v>480</v>
      </c>
      <c r="C6" s="49" t="s">
        <v>620</v>
      </c>
      <c r="D6" s="49" t="s">
        <v>86</v>
      </c>
      <c r="E6" s="49" t="s">
        <v>87</v>
      </c>
      <c r="F6" s="49" t="s">
        <v>88</v>
      </c>
      <c r="G6" s="326" t="s">
        <v>89</v>
      </c>
      <c r="H6" s="326" t="s">
        <v>90</v>
      </c>
      <c r="I6" s="327" t="s">
        <v>91</v>
      </c>
      <c r="J6" s="49" t="s">
        <v>342</v>
      </c>
      <c r="K6" s="50"/>
      <c r="L6" s="49" t="s">
        <v>86</v>
      </c>
      <c r="M6" s="49" t="s">
        <v>87</v>
      </c>
      <c r="N6" s="49" t="s">
        <v>88</v>
      </c>
      <c r="O6" s="326" t="s">
        <v>89</v>
      </c>
      <c r="P6" s="326" t="s">
        <v>90</v>
      </c>
      <c r="Q6" s="327" t="s">
        <v>91</v>
      </c>
      <c r="R6" s="49" t="str">
        <f>+J6</f>
        <v>Buyback</v>
      </c>
    </row>
    <row r="7" spans="1:22">
      <c r="C7" s="61"/>
      <c r="D7" s="42"/>
      <c r="E7" s="42"/>
      <c r="K7" s="44"/>
      <c r="L7" s="42"/>
      <c r="M7" s="42"/>
    </row>
    <row r="8" spans="1:22">
      <c r="A8" s="24" t="s">
        <v>45</v>
      </c>
      <c r="C8" s="61"/>
      <c r="D8" s="42"/>
      <c r="E8" s="42"/>
      <c r="K8" s="44"/>
      <c r="L8" s="42"/>
      <c r="M8" s="42"/>
    </row>
    <row r="9" spans="1:22">
      <c r="A9" s="24" t="s">
        <v>467</v>
      </c>
      <c r="B9" s="189">
        <v>40490</v>
      </c>
      <c r="C9" s="324">
        <v>13</v>
      </c>
      <c r="D9" s="42"/>
      <c r="E9" s="42"/>
      <c r="F9" s="188">
        <v>141000</v>
      </c>
      <c r="G9" s="188">
        <f>+F9/26</f>
        <v>5423.0769230769229</v>
      </c>
      <c r="H9" s="188"/>
      <c r="I9" s="188">
        <v>500</v>
      </c>
      <c r="J9" s="188">
        <v>2711.54</v>
      </c>
      <c r="K9" s="52"/>
      <c r="L9" s="42"/>
      <c r="M9" s="42"/>
      <c r="N9" s="73">
        <f>+O9*26.125</f>
        <v>145928.22115384616</v>
      </c>
      <c r="O9" s="73">
        <f>+G9*1.03</f>
        <v>5585.7692307692305</v>
      </c>
      <c r="P9" s="73"/>
      <c r="Q9" s="73">
        <v>500</v>
      </c>
      <c r="R9" s="73">
        <f>+O9/2</f>
        <v>2792.8846153846152</v>
      </c>
      <c r="T9" s="434"/>
      <c r="U9" s="62"/>
      <c r="V9" s="62"/>
    </row>
    <row r="10" spans="1:22">
      <c r="B10" s="51"/>
      <c r="C10" s="324"/>
      <c r="D10" s="42"/>
      <c r="E10" s="42"/>
      <c r="F10" s="188"/>
      <c r="G10" s="188"/>
      <c r="H10" s="188"/>
      <c r="I10" s="188"/>
      <c r="J10" s="188"/>
      <c r="K10" s="52"/>
      <c r="L10" s="42"/>
      <c r="M10" s="42"/>
      <c r="N10" s="73"/>
      <c r="O10" s="73"/>
      <c r="P10" s="73"/>
      <c r="Q10" s="73"/>
      <c r="R10" s="73"/>
    </row>
    <row r="11" spans="1:22">
      <c r="A11" s="24" t="s">
        <v>94</v>
      </c>
      <c r="B11" s="51"/>
      <c r="C11" s="324"/>
      <c r="D11" s="42"/>
      <c r="E11" s="42"/>
      <c r="F11" s="188"/>
      <c r="G11" s="188"/>
      <c r="H11" s="188"/>
      <c r="I11" s="188"/>
      <c r="J11" s="188"/>
      <c r="K11" s="52"/>
      <c r="L11" s="42"/>
      <c r="M11" s="42"/>
      <c r="N11" s="73"/>
      <c r="O11" s="73"/>
      <c r="P11" s="73"/>
      <c r="Q11" s="73"/>
      <c r="R11" s="73"/>
    </row>
    <row r="12" spans="1:22">
      <c r="A12" s="24" t="s">
        <v>665</v>
      </c>
      <c r="B12" s="51"/>
      <c r="C12" s="324"/>
      <c r="D12" s="42"/>
      <c r="E12" s="57"/>
      <c r="F12" s="188">
        <v>35000</v>
      </c>
      <c r="G12" s="188"/>
      <c r="H12" s="188"/>
      <c r="I12" s="188"/>
      <c r="J12" s="188"/>
      <c r="K12" s="52"/>
      <c r="L12" s="42"/>
      <c r="M12" s="57"/>
      <c r="N12" s="73">
        <f>+F12</f>
        <v>35000</v>
      </c>
      <c r="O12" s="73"/>
      <c r="P12" s="73"/>
      <c r="Q12" s="73">
        <v>0</v>
      </c>
      <c r="R12" s="73">
        <v>0</v>
      </c>
    </row>
    <row r="13" spans="1:22">
      <c r="C13" s="6"/>
      <c r="F13" s="188"/>
      <c r="G13" s="188"/>
      <c r="H13" s="188"/>
      <c r="I13" s="188"/>
      <c r="J13" s="188"/>
      <c r="K13" s="53"/>
      <c r="N13" s="73"/>
    </row>
    <row r="14" spans="1:22">
      <c r="C14" s="6"/>
      <c r="F14" s="188"/>
      <c r="G14" s="188"/>
      <c r="H14" s="188"/>
      <c r="I14" s="188"/>
      <c r="J14" s="188"/>
      <c r="K14" s="53"/>
    </row>
    <row r="15" spans="1:22">
      <c r="A15" s="40" t="s">
        <v>96</v>
      </c>
      <c r="C15" s="6"/>
      <c r="F15" s="188"/>
      <c r="G15" s="188"/>
      <c r="H15" s="188"/>
      <c r="I15" s="188"/>
      <c r="J15" s="188"/>
      <c r="K15" s="53"/>
      <c r="N15" s="36"/>
    </row>
    <row r="16" spans="1:22">
      <c r="A16" s="24" t="s">
        <v>45</v>
      </c>
      <c r="C16" s="6"/>
      <c r="F16" s="188">
        <f>ROUNDUP(F9,0)</f>
        <v>141000</v>
      </c>
      <c r="G16" s="188"/>
      <c r="H16" s="188"/>
      <c r="I16" s="188"/>
      <c r="J16" s="188"/>
      <c r="K16" s="53"/>
      <c r="N16" s="36">
        <f>ROUNDUP(N9,0)</f>
        <v>145929</v>
      </c>
    </row>
    <row r="17" spans="1:21">
      <c r="A17" s="24" t="s">
        <v>46</v>
      </c>
      <c r="C17" s="6"/>
      <c r="F17" s="188">
        <f>+F12</f>
        <v>35000</v>
      </c>
      <c r="G17" s="188"/>
      <c r="H17" s="188"/>
      <c r="I17" s="188"/>
      <c r="J17" s="188"/>
      <c r="K17" s="53"/>
      <c r="N17" s="36">
        <f>+N12</f>
        <v>35000</v>
      </c>
      <c r="T17" s="62"/>
      <c r="U17" s="62"/>
    </row>
    <row r="18" spans="1:21">
      <c r="A18" s="24" t="s">
        <v>91</v>
      </c>
      <c r="C18" s="6"/>
      <c r="F18" s="188">
        <f>+I9</f>
        <v>500</v>
      </c>
      <c r="G18" s="188"/>
      <c r="H18" s="188"/>
      <c r="I18" s="188"/>
      <c r="J18" s="188"/>
      <c r="K18" s="53"/>
      <c r="N18" s="36">
        <f>+Q9+Q12</f>
        <v>500</v>
      </c>
    </row>
    <row r="19" spans="1:21">
      <c r="A19" s="24" t="s">
        <v>342</v>
      </c>
      <c r="C19" s="6"/>
      <c r="F19" s="283">
        <v>2712</v>
      </c>
      <c r="G19" s="188"/>
      <c r="H19" s="188"/>
      <c r="I19" s="188"/>
      <c r="J19" s="188"/>
      <c r="K19" s="53"/>
      <c r="N19" s="36">
        <f>ROUNDUP(R9,0)</f>
        <v>2793</v>
      </c>
    </row>
    <row r="20" spans="1:21">
      <c r="A20" s="24" t="s">
        <v>52</v>
      </c>
      <c r="C20" s="6"/>
      <c r="F20" s="283">
        <v>0</v>
      </c>
      <c r="G20" s="188"/>
      <c r="H20" s="188"/>
      <c r="I20" s="188"/>
      <c r="J20" s="188"/>
      <c r="K20" s="53"/>
      <c r="N20" s="36">
        <v>0</v>
      </c>
    </row>
    <row r="21" spans="1:21">
      <c r="C21" s="6"/>
      <c r="F21" s="54"/>
      <c r="K21" s="53"/>
      <c r="N21" s="54"/>
    </row>
    <row r="22" spans="1:21">
      <c r="A22" s="42" t="s">
        <v>337</v>
      </c>
      <c r="C22" s="325"/>
      <c r="D22" s="193"/>
      <c r="E22" s="193"/>
      <c r="F22" s="193">
        <f>SUM(F16:F20)</f>
        <v>179212</v>
      </c>
      <c r="K22" s="196"/>
      <c r="L22" s="193"/>
      <c r="M22" s="193"/>
      <c r="N22" s="193">
        <f>SUM(N16:N20)</f>
        <v>184222</v>
      </c>
    </row>
    <row r="25" spans="1:21">
      <c r="F25" s="60" t="s">
        <v>639</v>
      </c>
      <c r="N25" s="60" t="s">
        <v>666</v>
      </c>
    </row>
    <row r="26" spans="1:21">
      <c r="F26" s="60" t="s">
        <v>625</v>
      </c>
      <c r="N26" s="60" t="s">
        <v>664</v>
      </c>
    </row>
    <row r="27" spans="1:21">
      <c r="F27" s="313" t="s">
        <v>97</v>
      </c>
      <c r="G27" s="62"/>
      <c r="H27" s="62"/>
      <c r="I27" s="62"/>
      <c r="K27" s="62"/>
      <c r="L27" s="62"/>
      <c r="M27" s="62"/>
      <c r="N27" s="313" t="s">
        <v>97</v>
      </c>
      <c r="O27" s="62"/>
      <c r="P27" s="62"/>
    </row>
    <row r="28" spans="1:21">
      <c r="F28" s="60"/>
      <c r="N28" s="60"/>
    </row>
  </sheetData>
  <phoneticPr fontId="0" type="noConversion"/>
  <printOptions horizontalCentered="1" gridLines="1"/>
  <pageMargins left="0.45" right="0.35" top="0.75" bottom="1" header="0.3" footer="0.3"/>
  <pageSetup scale="87" orientation="landscape" r:id="rId1"/>
  <headerFooter>
    <oddFooter>&amp;L&amp;D FY25 Budget&amp;CPage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60</vt:i4>
      </vt:variant>
    </vt:vector>
  </HeadingPairs>
  <TitlesOfParts>
    <vt:vector size="120" baseType="lpstr">
      <vt:lpstr>RECAP</vt:lpstr>
      <vt:lpstr>Ent Recap</vt:lpstr>
      <vt:lpstr>Summary</vt:lpstr>
      <vt:lpstr>Dept 122</vt:lpstr>
      <vt:lpstr>Pers 122</vt:lpstr>
      <vt:lpstr>Dept 124</vt:lpstr>
      <vt:lpstr>Dept 131</vt:lpstr>
      <vt:lpstr>Dept 135</vt:lpstr>
      <vt:lpstr>Pers 135</vt:lpstr>
      <vt:lpstr>Dept 141</vt:lpstr>
      <vt:lpstr>Pers 141</vt:lpstr>
      <vt:lpstr>Dept 145</vt:lpstr>
      <vt:lpstr>Pers 145</vt:lpstr>
      <vt:lpstr>Dept 151</vt:lpstr>
      <vt:lpstr>Pers 151</vt:lpstr>
      <vt:lpstr>Dept 155</vt:lpstr>
      <vt:lpstr>Dept 161</vt:lpstr>
      <vt:lpstr>Pers 161</vt:lpstr>
      <vt:lpstr>Dept 171</vt:lpstr>
      <vt:lpstr>Pers 171</vt:lpstr>
      <vt:lpstr>Dept 175</vt:lpstr>
      <vt:lpstr>Pers 175</vt:lpstr>
      <vt:lpstr>Dept 192</vt:lpstr>
      <vt:lpstr>Pers 192</vt:lpstr>
      <vt:lpstr>Dept 210</vt:lpstr>
      <vt:lpstr>Pers 210</vt:lpstr>
      <vt:lpstr>Dept 220</vt:lpstr>
      <vt:lpstr>Pers 220</vt:lpstr>
      <vt:lpstr>Dept 241</vt:lpstr>
      <vt:lpstr>Pers 241</vt:lpstr>
      <vt:lpstr>Dept 291</vt:lpstr>
      <vt:lpstr>Pers 291</vt:lpstr>
      <vt:lpstr>Dept 292</vt:lpstr>
      <vt:lpstr>Pers 292</vt:lpstr>
      <vt:lpstr>Dept 297</vt:lpstr>
      <vt:lpstr>Pers 297</vt:lpstr>
      <vt:lpstr>Dept 421</vt:lpstr>
      <vt:lpstr>Pers 421</vt:lpstr>
      <vt:lpstr>Dept 423</vt:lpstr>
      <vt:lpstr>Dept 496</vt:lpstr>
      <vt:lpstr>Dept 511</vt:lpstr>
      <vt:lpstr>Pers 511</vt:lpstr>
      <vt:lpstr>Dept 541</vt:lpstr>
      <vt:lpstr>Pers 541</vt:lpstr>
      <vt:lpstr>Dept 543</vt:lpstr>
      <vt:lpstr>Pers 543</vt:lpstr>
      <vt:lpstr>Dept 610</vt:lpstr>
      <vt:lpstr>Pers 610</vt:lpstr>
      <vt:lpstr>Dept 650</vt:lpstr>
      <vt:lpstr>Pers 650</vt:lpstr>
      <vt:lpstr>Admin</vt:lpstr>
      <vt:lpstr>Reserve Funds</vt:lpstr>
      <vt:lpstr>Capital</vt:lpstr>
      <vt:lpstr>Harbor</vt:lpstr>
      <vt:lpstr>Pers Harbor</vt:lpstr>
      <vt:lpstr>Sewer</vt:lpstr>
      <vt:lpstr>Pers Sewer</vt:lpstr>
      <vt:lpstr>Cable</vt:lpstr>
      <vt:lpstr>Pers Cable</vt:lpstr>
      <vt:lpstr>Sheet1</vt:lpstr>
      <vt:lpstr>Admin!Print_Area</vt:lpstr>
      <vt:lpstr>Cable!Print_Area</vt:lpstr>
      <vt:lpstr>Capital!Print_Area</vt:lpstr>
      <vt:lpstr>'Dept 122'!Print_Area</vt:lpstr>
      <vt:lpstr>'Dept 124'!Print_Area</vt:lpstr>
      <vt:lpstr>'Dept 131'!Print_Area</vt:lpstr>
      <vt:lpstr>'Dept 135'!Print_Area</vt:lpstr>
      <vt:lpstr>'Dept 141'!Print_Area</vt:lpstr>
      <vt:lpstr>'Dept 145'!Print_Area</vt:lpstr>
      <vt:lpstr>'Dept 151'!Print_Area</vt:lpstr>
      <vt:lpstr>'Dept 155'!Print_Area</vt:lpstr>
      <vt:lpstr>'Dept 161'!Print_Area</vt:lpstr>
      <vt:lpstr>'Dept 171'!Print_Area</vt:lpstr>
      <vt:lpstr>'Dept 175'!Print_Area</vt:lpstr>
      <vt:lpstr>'Dept 192'!Print_Area</vt:lpstr>
      <vt:lpstr>'Dept 210'!Print_Area</vt:lpstr>
      <vt:lpstr>'Dept 220'!Print_Area</vt:lpstr>
      <vt:lpstr>'Dept 241'!Print_Area</vt:lpstr>
      <vt:lpstr>'Dept 291'!Print_Area</vt:lpstr>
      <vt:lpstr>'Dept 292'!Print_Area</vt:lpstr>
      <vt:lpstr>'Dept 297'!Print_Area</vt:lpstr>
      <vt:lpstr>'Dept 421'!Print_Area</vt:lpstr>
      <vt:lpstr>'Dept 423'!Print_Area</vt:lpstr>
      <vt:lpstr>'Dept 496'!Print_Area</vt:lpstr>
      <vt:lpstr>'Dept 511'!Print_Area</vt:lpstr>
      <vt:lpstr>'Dept 541'!Print_Area</vt:lpstr>
      <vt:lpstr>'Dept 543'!Print_Area</vt:lpstr>
      <vt:lpstr>'Dept 610'!Print_Area</vt:lpstr>
      <vt:lpstr>'Dept 650'!Print_Area</vt:lpstr>
      <vt:lpstr>'Ent Recap'!Print_Area</vt:lpstr>
      <vt:lpstr>Harbor!Print_Area</vt:lpstr>
      <vt:lpstr>'Pers 122'!Print_Area</vt:lpstr>
      <vt:lpstr>'Pers 135'!Print_Area</vt:lpstr>
      <vt:lpstr>'Pers 141'!Print_Area</vt:lpstr>
      <vt:lpstr>'Pers 145'!Print_Area</vt:lpstr>
      <vt:lpstr>'Pers 151'!Print_Area</vt:lpstr>
      <vt:lpstr>'Pers 161'!Print_Area</vt:lpstr>
      <vt:lpstr>'Pers 171'!Print_Area</vt:lpstr>
      <vt:lpstr>'Pers 175'!Print_Area</vt:lpstr>
      <vt:lpstr>'Pers 192'!Print_Area</vt:lpstr>
      <vt:lpstr>'Pers 210'!Print_Area</vt:lpstr>
      <vt:lpstr>'Pers 220'!Print_Area</vt:lpstr>
      <vt:lpstr>'Pers 241'!Print_Area</vt:lpstr>
      <vt:lpstr>'Pers 291'!Print_Area</vt:lpstr>
      <vt:lpstr>'Pers 292'!Print_Area</vt:lpstr>
      <vt:lpstr>'Pers 297'!Print_Area</vt:lpstr>
      <vt:lpstr>'Pers 421'!Print_Area</vt:lpstr>
      <vt:lpstr>'Pers 511'!Print_Area</vt:lpstr>
      <vt:lpstr>'Pers 541'!Print_Area</vt:lpstr>
      <vt:lpstr>'Pers 543'!Print_Area</vt:lpstr>
      <vt:lpstr>'Pers 610'!Print_Area</vt:lpstr>
      <vt:lpstr>'Pers 650'!Print_Area</vt:lpstr>
      <vt:lpstr>'Pers Cable'!Print_Area</vt:lpstr>
      <vt:lpstr>'Pers Harbor'!Print_Area</vt:lpstr>
      <vt:lpstr>'Pers Sewer'!Print_Area</vt:lpstr>
      <vt:lpstr>RECAP!Print_Area</vt:lpstr>
      <vt:lpstr>'Reserve Funds'!Print_Area</vt:lpstr>
      <vt:lpstr>Sewer!Print_Area</vt:lpstr>
      <vt:lpstr>Summary!Print_Area</vt:lpstr>
      <vt:lpstr>Admin!Print_Titles</vt:lpstr>
    </vt:vector>
  </TitlesOfParts>
  <Company>Town of Hull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jconstable</cp:lastModifiedBy>
  <cp:lastPrinted>2024-02-21T19:48:11Z</cp:lastPrinted>
  <dcterms:created xsi:type="dcterms:W3CDTF">2009-09-17T20:27:07Z</dcterms:created>
  <dcterms:modified xsi:type="dcterms:W3CDTF">2024-02-21T20:18:59Z</dcterms:modified>
</cp:coreProperties>
</file>